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775" windowHeight="2790" tabRatio="535" activeTab="0"/>
  </bookViews>
  <sheets>
    <sheet name="REKAP 5 TH" sheetId="1" r:id="rId1"/>
    <sheet name="REKAP PROP" sheetId="2" r:id="rId2"/>
    <sheet name="BENG.SOLO" sheetId="3" r:id="rId3"/>
    <sheet name="PROB-SCIT" sheetId="4" r:id="rId4"/>
    <sheet name="PC-JT-SL" sheetId="5" r:id="rId5"/>
    <sheet name="Analisa" sheetId="6" r:id="rId6"/>
    <sheet name="Sheet1" sheetId="7" r:id="rId7"/>
    <sheet name="Sheet2" sheetId="8" r:id="rId8"/>
    <sheet name="Sheet3" sheetId="9" r:id="rId9"/>
  </sheets>
  <externalReferences>
    <externalReference r:id="rId12"/>
  </externalReferences>
  <definedNames>
    <definedName name="_xlnm.Print_Area" localSheetId="2">'BENG.SOLO'!$A$2:$L$65</definedName>
    <definedName name="_xlnm.Print_Area" localSheetId="4">'PC-JT-SL'!$A$1:$L$72</definedName>
    <definedName name="_xlnm.Print_Area" localSheetId="3">'PROB-SCIT'!$A$1:$L$64</definedName>
  </definedNames>
  <calcPr fullCalcOnLoad="1"/>
</workbook>
</file>

<file path=xl/sharedStrings.xml><?xml version="1.0" encoding="utf-8"?>
<sst xmlns="http://schemas.openxmlformats.org/spreadsheetml/2006/main" count="855" uniqueCount="441">
  <si>
    <t>No.</t>
  </si>
  <si>
    <t>Wonogiri</t>
  </si>
  <si>
    <t xml:space="preserve"> </t>
  </si>
  <si>
    <t>Brebes</t>
  </si>
  <si>
    <t>BENDUNG</t>
  </si>
  <si>
    <t>Congkar</t>
  </si>
  <si>
    <t>Notog</t>
  </si>
  <si>
    <t>Pemalang</t>
  </si>
  <si>
    <t>Pekalongan</t>
  </si>
  <si>
    <t>Batang</t>
  </si>
  <si>
    <t>Kendal</t>
  </si>
  <si>
    <t>Juwero</t>
  </si>
  <si>
    <t>Semarang</t>
  </si>
  <si>
    <t>Jepara</t>
  </si>
  <si>
    <t>Demak</t>
  </si>
  <si>
    <t>Bang (Mijen )</t>
  </si>
  <si>
    <t>Magelang</t>
  </si>
  <si>
    <t>Tangsi</t>
  </si>
  <si>
    <t>Grobogan</t>
  </si>
  <si>
    <t>Tirto</t>
  </si>
  <si>
    <t>Rembang</t>
  </si>
  <si>
    <t>Babadan</t>
  </si>
  <si>
    <t>Blora</t>
  </si>
  <si>
    <t>Mursapa</t>
  </si>
  <si>
    <t>Kudus</t>
  </si>
  <si>
    <t>Logung</t>
  </si>
  <si>
    <t>Pati</t>
  </si>
  <si>
    <t>Widodaren</t>
  </si>
  <si>
    <t>Temon</t>
  </si>
  <si>
    <t>Klaten</t>
  </si>
  <si>
    <t>Kaligawe</t>
  </si>
  <si>
    <t>Karanganyar</t>
  </si>
  <si>
    <t>Boyolali</t>
  </si>
  <si>
    <t>Sragen</t>
  </si>
  <si>
    <t>Bonggo</t>
  </si>
  <si>
    <t>Parean</t>
  </si>
  <si>
    <t>Trani</t>
  </si>
  <si>
    <t>Dimoro</t>
  </si>
  <si>
    <t>Sukoharjo</t>
  </si>
  <si>
    <t>Grogol</t>
  </si>
  <si>
    <t>Purworejo</t>
  </si>
  <si>
    <t>Kebumen</t>
  </si>
  <si>
    <t>Pringtutul</t>
  </si>
  <si>
    <t>Watubarut</t>
  </si>
  <si>
    <t>Banjarnegara</t>
  </si>
  <si>
    <t>Wonosobo</t>
  </si>
  <si>
    <t>Pingit</t>
  </si>
  <si>
    <t>Temanggung</t>
  </si>
  <si>
    <t>Catgawen IV</t>
  </si>
  <si>
    <t>Banyumas</t>
  </si>
  <si>
    <t>Cilacap</t>
  </si>
  <si>
    <t xml:space="preserve">Sawah </t>
  </si>
  <si>
    <t>Irigasi</t>
  </si>
  <si>
    <t>(Ha)</t>
  </si>
  <si>
    <t>Q  INTAKE</t>
  </si>
  <si>
    <t>Kanan</t>
  </si>
  <si>
    <t>Kiri</t>
  </si>
  <si>
    <t>Q</t>
  </si>
  <si>
    <t>Sungai</t>
  </si>
  <si>
    <t>Kebutuhan</t>
  </si>
  <si>
    <t>Faktor</t>
  </si>
  <si>
    <t>K</t>
  </si>
  <si>
    <t>Limpas</t>
  </si>
  <si>
    <t>Pekatingan</t>
  </si>
  <si>
    <t>8=5+6+7</t>
  </si>
  <si>
    <t>Kaliwadas</t>
  </si>
  <si>
    <t>Pesantren Kletak</t>
  </si>
  <si>
    <t>Krompeng</t>
  </si>
  <si>
    <t>Asem Siketek</t>
  </si>
  <si>
    <t>Kejene</t>
  </si>
  <si>
    <t>0</t>
  </si>
  <si>
    <t>PANTAUAN  DEBIT PADA BENDUNG KONTROL POINT</t>
  </si>
  <si>
    <t>..</t>
  </si>
  <si>
    <t>I</t>
  </si>
  <si>
    <t>PEMALI COMAL</t>
  </si>
  <si>
    <t>II</t>
  </si>
  <si>
    <t>JRATUN</t>
  </si>
  <si>
    <t>III</t>
  </si>
  <si>
    <t>SELUNA</t>
  </si>
  <si>
    <t>IV</t>
  </si>
  <si>
    <t>BENGAWAN SOLO</t>
  </si>
  <si>
    <t>V</t>
  </si>
  <si>
    <t>PROBOLO</t>
  </si>
  <si>
    <t>VI</t>
  </si>
  <si>
    <t>SERAYU CITANDUY</t>
  </si>
  <si>
    <t>Kd.Dowo Kramat</t>
  </si>
  <si>
    <t>Tapak Menjangan</t>
  </si>
  <si>
    <t>Kedungasem</t>
  </si>
  <si>
    <t>Sojomerto</t>
  </si>
  <si>
    <t>Kedung Pengilon</t>
  </si>
  <si>
    <t>Kota Semarang</t>
  </si>
  <si>
    <t>Pucang Gading</t>
  </si>
  <si>
    <t>Jragung</t>
  </si>
  <si>
    <t>Glapan</t>
  </si>
  <si>
    <t>Dolok</t>
  </si>
  <si>
    <t>KABUPATEN/KOTA</t>
  </si>
  <si>
    <t>Purbalingga</t>
  </si>
  <si>
    <t>JUMLAH SELURUHNYA</t>
  </si>
  <si>
    <r>
      <t>(m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/dt).</t>
    </r>
  </si>
  <si>
    <r>
      <t>(m</t>
    </r>
    <r>
      <rPr>
        <b/>
        <vertAlign val="superscript"/>
        <sz val="12"/>
        <rFont val="Arial"/>
        <family val="2"/>
      </rPr>
      <t>3/</t>
    </r>
    <r>
      <rPr>
        <b/>
        <sz val="12"/>
        <rFont val="Arial"/>
        <family val="2"/>
      </rPr>
      <t>dt).</t>
    </r>
  </si>
  <si>
    <t>Jaban</t>
  </si>
  <si>
    <t>Ploso Wareng</t>
  </si>
  <si>
    <t>Walikan</t>
  </si>
  <si>
    <t>Pepen</t>
  </si>
  <si>
    <t>Lemah Bang II</t>
  </si>
  <si>
    <t>BALAI PSDA PROBOLO DAN BALAI PSDA SERCIT</t>
  </si>
  <si>
    <t>Karag I</t>
  </si>
  <si>
    <t>Karag  II</t>
  </si>
  <si>
    <t>Siragas</t>
  </si>
  <si>
    <t>Kedung Gabel</t>
  </si>
  <si>
    <t>Galeh</t>
  </si>
  <si>
    <t>Badran</t>
  </si>
  <si>
    <t>Soropadan</t>
  </si>
  <si>
    <t>Colo Barat</t>
  </si>
  <si>
    <t>Colo Timur</t>
  </si>
  <si>
    <t>Bapang</t>
  </si>
  <si>
    <t>Wonotoro</t>
  </si>
  <si>
    <t>Garat I</t>
  </si>
  <si>
    <t>Baran</t>
  </si>
  <si>
    <t>Pundung</t>
  </si>
  <si>
    <t>Pakelan</t>
  </si>
  <si>
    <t>Watuleter</t>
  </si>
  <si>
    <t>Cangkring</t>
  </si>
  <si>
    <t>Sidomakmur</t>
  </si>
  <si>
    <t>Braholo</t>
  </si>
  <si>
    <t>Nglasem</t>
  </si>
  <si>
    <t>Menggok</t>
  </si>
  <si>
    <t>Sudangan</t>
  </si>
  <si>
    <t>Temantenan</t>
  </si>
  <si>
    <t>Jetis</t>
  </si>
  <si>
    <t>Kepoh</t>
  </si>
  <si>
    <t>Kasihan II</t>
  </si>
  <si>
    <t>JUMLAH  V</t>
  </si>
  <si>
    <t>JUMLAH   I</t>
  </si>
  <si>
    <t>JUMLAH   II</t>
  </si>
  <si>
    <t>JUMLAH   III</t>
  </si>
  <si>
    <t>SERCIT</t>
  </si>
  <si>
    <t xml:space="preserve">Colo </t>
  </si>
  <si>
    <t>Jumeneng</t>
  </si>
  <si>
    <t>Nyaen</t>
  </si>
  <si>
    <t>BALAI PSDA BENGAWAN SOLO</t>
  </si>
  <si>
    <t>Jumlah</t>
  </si>
  <si>
    <t>Jumlah Total</t>
  </si>
  <si>
    <t xml:space="preserve">Sukoharjo cs (5) </t>
  </si>
  <si>
    <t>BALAI PSDA PEMALI COMAL, JRAGUNG TUNTANG DAN SERANG LUSI JUANA</t>
  </si>
  <si>
    <t>SERANG LUSI JUANA</t>
  </si>
  <si>
    <t>Sentul</t>
  </si>
  <si>
    <t>Plumbon</t>
  </si>
  <si>
    <t>Senjoyo (Ajiawur)</t>
  </si>
  <si>
    <t>Kalongan</t>
  </si>
  <si>
    <t>Jetu</t>
  </si>
  <si>
    <t>Medani</t>
  </si>
  <si>
    <t>Kedungsapen</t>
  </si>
  <si>
    <t>Kedungwaru</t>
  </si>
  <si>
    <t>Siwayut</t>
  </si>
  <si>
    <t>Jajar</t>
  </si>
  <si>
    <t>Suplesi</t>
  </si>
  <si>
    <t>Sidopangus</t>
  </si>
  <si>
    <t xml:space="preserve">Tritis </t>
  </si>
  <si>
    <t>Ngasem</t>
  </si>
  <si>
    <t>Faktor K</t>
  </si>
  <si>
    <t>Rata-rata</t>
  </si>
  <si>
    <t>Rata-2</t>
  </si>
  <si>
    <t>BALAI PSDA</t>
  </si>
  <si>
    <t xml:space="preserve">PER BALAI PSDA SE JAWA TENGAH </t>
  </si>
  <si>
    <t>REKAP PANTAUAN  DEBIT BENDUNG KONTROL POINT</t>
  </si>
  <si>
    <t>JRAGUNG TUNTANG</t>
  </si>
  <si>
    <t>Gisik</t>
  </si>
  <si>
    <t>Colo</t>
  </si>
  <si>
    <t>Kr.Anyar</t>
  </si>
  <si>
    <t>Kedung Putri</t>
  </si>
  <si>
    <t>Boro</t>
  </si>
  <si>
    <t>Pager/Tlatar</t>
  </si>
  <si>
    <t>Keterangan</t>
  </si>
  <si>
    <t>Sudikampir</t>
  </si>
  <si>
    <t>Padurekso</t>
  </si>
  <si>
    <t>=  *)  Data tidak dikirim dari Balai</t>
  </si>
  <si>
    <t>Munggur</t>
  </si>
  <si>
    <t>TOLERANSI</t>
  </si>
  <si>
    <t>REALISASI</t>
  </si>
  <si>
    <t>Bang Wedung 3</t>
  </si>
  <si>
    <t>Mantren</t>
  </si>
  <si>
    <t>Brajan</t>
  </si>
  <si>
    <t>Glodok</t>
  </si>
  <si>
    <t>Bakalan</t>
  </si>
  <si>
    <t xml:space="preserve">Kedung Boyo </t>
  </si>
  <si>
    <t>KETERANGAN</t>
  </si>
  <si>
    <t xml:space="preserve">   Faktor K  =  0.5 s/d 0.7    -----&gt;   Giliran ( Potensi kekeringan)</t>
  </si>
  <si>
    <t xml:space="preserve">   Faktor K  &lt;  0.3               ------&gt;    Sangat Rawan kekeringan.</t>
  </si>
  <si>
    <t xml:space="preserve">   Faktor K  =   0.3 s/d 0.5    ----&gt;    Rawan kekeringan.</t>
  </si>
  <si>
    <t xml:space="preserve">   Faktor K  &gt;  0.7                ------&gt;   Aman</t>
  </si>
  <si>
    <t>= @  Keweangan Provinsi</t>
  </si>
  <si>
    <t xml:space="preserve">=  $  Kewenangan Pusat,  </t>
  </si>
  <si>
    <t xml:space="preserve">   Faktor K  =  0.5 s/d 0.7    -----&gt;   Giliran ( Potensi rawan kekeringan)</t>
  </si>
  <si>
    <t>Tidak ada data</t>
  </si>
  <si>
    <t>Suplesi air hujan</t>
  </si>
  <si>
    <t xml:space="preserve">MINGGU   ke   IV    ( Tgl.  26  Januari  s/d   01  Pebruari  2009 )  </t>
  </si>
  <si>
    <t>Areal</t>
  </si>
  <si>
    <t>Butuh air/l/Ha</t>
  </si>
  <si>
    <t>1 Hari</t>
  </si>
  <si>
    <t>Kebutuhan 1 hari air (liter)</t>
  </si>
  <si>
    <t>Kebutuhan 1 hari air (m3)</t>
  </si>
  <si>
    <t>Mejagong</t>
  </si>
  <si>
    <t>Pesayangan</t>
  </si>
  <si>
    <t>Sidapurna</t>
  </si>
  <si>
    <t>Gondang</t>
  </si>
  <si>
    <t>Lenggor</t>
  </si>
  <si>
    <t>Pkl. Pemalang</t>
  </si>
  <si>
    <t>Tegal</t>
  </si>
  <si>
    <t>Tegal Brebes</t>
  </si>
  <si>
    <t>Kota Tegal</t>
  </si>
  <si>
    <t>Kab.Tegal &amp; Brebes</t>
  </si>
  <si>
    <t>Beji</t>
  </si>
  <si>
    <t>Kab. Brebes</t>
  </si>
  <si>
    <t>Kemaron</t>
  </si>
  <si>
    <t>Notog/P. Bawah</t>
  </si>
  <si>
    <t>BENDUNG/DI</t>
  </si>
  <si>
    <t>Gangsa/G. Lumingser</t>
  </si>
  <si>
    <t>Krompeng/Kupang</t>
  </si>
  <si>
    <t xml:space="preserve">Serayu            </t>
  </si>
  <si>
    <t xml:space="preserve">Tajum              </t>
  </si>
  <si>
    <t xml:space="preserve">Manganti        </t>
  </si>
  <si>
    <t xml:space="preserve">Singomerto    </t>
  </si>
  <si>
    <t xml:space="preserve">Andongbang  </t>
  </si>
  <si>
    <t xml:space="preserve">Arca               </t>
  </si>
  <si>
    <t xml:space="preserve">Krenceng      </t>
  </si>
  <si>
    <t>Pribadi</t>
  </si>
  <si>
    <t>Bodag</t>
  </si>
  <si>
    <t xml:space="preserve">Kebasen        </t>
  </si>
  <si>
    <t xml:space="preserve">Cijalu           </t>
  </si>
  <si>
    <t xml:space="preserve">Kalisapi    </t>
  </si>
  <si>
    <t>Piasa</t>
  </si>
  <si>
    <t>Cieleumeuh</t>
  </si>
  <si>
    <t>Buniayu</t>
  </si>
  <si>
    <t>Parakan Kidang</t>
  </si>
  <si>
    <t xml:space="preserve">Banjarcahyana  </t>
  </si>
  <si>
    <t>Sukowati</t>
  </si>
  <si>
    <t>Brondong</t>
  </si>
  <si>
    <t>Sungapan</t>
  </si>
  <si>
    <t>Kab. Pekalongan</t>
  </si>
  <si>
    <t>Brebes - Cirebon</t>
  </si>
  <si>
    <t>Cisadap</t>
  </si>
  <si>
    <t>Nambo</t>
  </si>
  <si>
    <t>Cibendung</t>
  </si>
  <si>
    <t>Suplesi hujan</t>
  </si>
  <si>
    <t>Kab/Kota Pekalongan</t>
  </si>
  <si>
    <t>Kab. Tegal</t>
  </si>
  <si>
    <t>Dukuhjati</t>
  </si>
  <si>
    <t>Cipero</t>
  </si>
  <si>
    <t>Kapasitas sal tidak mencukupi</t>
  </si>
  <si>
    <t>Sidorejo</t>
  </si>
  <si>
    <t>Sedadi</t>
  </si>
  <si>
    <t>Klambu</t>
  </si>
  <si>
    <t xml:space="preserve">Banjaran </t>
  </si>
  <si>
    <t>PANTAUAN  DEBIT PADA BENDUNG - BENDUNG</t>
  </si>
  <si>
    <t>Pejengkolan SIWT</t>
  </si>
  <si>
    <t>Pejengkolan SIWB</t>
  </si>
  <si>
    <t>Bedegolan</t>
  </si>
  <si>
    <t>Cawitali</t>
  </si>
  <si>
    <t>Gunung maling</t>
  </si>
  <si>
    <t xml:space="preserve">Sukoharjo </t>
  </si>
  <si>
    <t>Danawarih</t>
  </si>
  <si>
    <t>Dwi Cupaksari</t>
  </si>
  <si>
    <t xml:space="preserve">PRAKIRAAN  KETERSEDIAAN  AIR  IRIGASI </t>
  </si>
  <si>
    <t>PADA BENDUNG KONTROL POINT KEWENANGAN PUSAT</t>
  </si>
  <si>
    <t>PERIODE  : 20  -  26 MARET 2012</t>
  </si>
  <si>
    <t>MINGGU KE : IV MARET 2012</t>
  </si>
  <si>
    <t>N0.</t>
  </si>
  <si>
    <t>KABUPATEN</t>
  </si>
  <si>
    <t>DAERAH</t>
  </si>
  <si>
    <t xml:space="preserve">SAWAH </t>
  </si>
  <si>
    <t>Q LIMPAS</t>
  </si>
  <si>
    <t>Q INTAKE m3/dt</t>
  </si>
  <si>
    <t>Q SUNGAI</t>
  </si>
  <si>
    <t>Q KEB.</t>
  </si>
  <si>
    <t>FAKTOR</t>
  </si>
  <si>
    <t>KET.</t>
  </si>
  <si>
    <t>KONTROL</t>
  </si>
  <si>
    <t>KOTA</t>
  </si>
  <si>
    <t>IRIGASI</t>
  </si>
  <si>
    <t>M3/dt</t>
  </si>
  <si>
    <t>KN</t>
  </si>
  <si>
    <t>KR</t>
  </si>
  <si>
    <t>POINT</t>
  </si>
  <si>
    <t>( Ha. )</t>
  </si>
  <si>
    <t>15=(11+12+13)</t>
  </si>
  <si>
    <t>17=(12+13)/15</t>
  </si>
  <si>
    <t xml:space="preserve"> Krompeng</t>
  </si>
  <si>
    <t xml:space="preserve"> Kab. Pkl, Kota Pkl</t>
  </si>
  <si>
    <t xml:space="preserve"> Kupang</t>
  </si>
  <si>
    <t xml:space="preserve"> &amp; Kab. Batang</t>
  </si>
  <si>
    <t xml:space="preserve"> Pesantren Kletak</t>
  </si>
  <si>
    <t xml:space="preserve"> Kaliwadas</t>
  </si>
  <si>
    <t xml:space="preserve"> Kab. Pkl, Kab Pml</t>
  </si>
  <si>
    <t xml:space="preserve"> Notog</t>
  </si>
  <si>
    <t xml:space="preserve"> Kab. Tegal &amp; Kab Brebes</t>
  </si>
  <si>
    <t xml:space="preserve"> Pemali Bawah</t>
  </si>
  <si>
    <t xml:space="preserve"> Sokawati</t>
  </si>
  <si>
    <t xml:space="preserve"> Kab. Pemalang</t>
  </si>
  <si>
    <t xml:space="preserve"> Comal </t>
  </si>
  <si>
    <t xml:space="preserve"> Rehabilitasi oleh BBWS Pemali Juana</t>
  </si>
  <si>
    <t xml:space="preserve"> Brondong</t>
  </si>
  <si>
    <t xml:space="preserve"> Kab. Pekalongan</t>
  </si>
  <si>
    <t xml:space="preserve"> Sragi</t>
  </si>
  <si>
    <t xml:space="preserve"> Sungapan</t>
  </si>
  <si>
    <t xml:space="preserve"> Cisadap</t>
  </si>
  <si>
    <t xml:space="preserve"> Kab. Brebes</t>
  </si>
  <si>
    <t xml:space="preserve"> Babakan</t>
  </si>
  <si>
    <t xml:space="preserve"> Nambo</t>
  </si>
  <si>
    <t xml:space="preserve"> Kabuyutan</t>
  </si>
  <si>
    <t xml:space="preserve"> Ada Suplesi Hujan yang Cukup</t>
  </si>
  <si>
    <t xml:space="preserve"> Cibendung</t>
  </si>
  <si>
    <t xml:space="preserve"> Jengkelok</t>
  </si>
  <si>
    <t xml:space="preserve"> Dukuhjati</t>
  </si>
  <si>
    <t xml:space="preserve"> Kab. Tegal</t>
  </si>
  <si>
    <t xml:space="preserve"> Layanan Cacaban</t>
  </si>
  <si>
    <t xml:space="preserve"> Danawarih</t>
  </si>
  <si>
    <t xml:space="preserve"> Gung</t>
  </si>
  <si>
    <t xml:space="preserve"> Cipero</t>
  </si>
  <si>
    <t xml:space="preserve"> Rambut</t>
  </si>
  <si>
    <t xml:space="preserve"> Cawitali</t>
  </si>
  <si>
    <t xml:space="preserve"> Kumisik</t>
  </si>
  <si>
    <t>Tegal, 20 Maret 2012</t>
  </si>
  <si>
    <t>Mengetahui :</t>
  </si>
  <si>
    <t>PLH KEPALA BALAI PENGELOLAAN SUMBER DAYA AIR</t>
  </si>
  <si>
    <t xml:space="preserve"> PEMALI COMAL</t>
  </si>
  <si>
    <t>Ir. RADITO, MT</t>
  </si>
  <si>
    <t>NIP. 19661221 199102 1 001</t>
  </si>
  <si>
    <t>Kramat</t>
  </si>
  <si>
    <t>SUNGAI</t>
  </si>
  <si>
    <t>Kupang</t>
  </si>
  <si>
    <t>Sengkarang</t>
  </si>
  <si>
    <t>Pemali</t>
  </si>
  <si>
    <t>Genteng</t>
  </si>
  <si>
    <t>Kepada Yth Ibu BRILIYAN  021    7221907</t>
  </si>
  <si>
    <t>HARTADI 024  - 91182720</t>
  </si>
  <si>
    <t>Kalisapi</t>
  </si>
  <si>
    <t>KAB/ KOTA</t>
  </si>
  <si>
    <t>Keb</t>
  </si>
  <si>
    <t>KAB  /  KOTA</t>
  </si>
  <si>
    <t>Umbul Tlatar</t>
  </si>
  <si>
    <t>Jlamprang</t>
  </si>
  <si>
    <t xml:space="preserve"> Comal</t>
  </si>
  <si>
    <t xml:space="preserve"> Paingan</t>
  </si>
  <si>
    <t xml:space="preserve"> Waluh</t>
  </si>
  <si>
    <t xml:space="preserve"> jengkelok</t>
  </si>
  <si>
    <t xml:space="preserve"> Cacaban west</t>
  </si>
  <si>
    <t xml:space="preserve"> Sambong</t>
  </si>
  <si>
    <t xml:space="preserve"> Welo</t>
  </si>
  <si>
    <t xml:space="preserve"> Sengkarang</t>
  </si>
  <si>
    <t xml:space="preserve"> Boro</t>
  </si>
  <si>
    <t xml:space="preserve"> Kemiri</t>
  </si>
  <si>
    <t xml:space="preserve"> Gangsa</t>
  </si>
  <si>
    <t xml:space="preserve"> Gintung</t>
  </si>
  <si>
    <t xml:space="preserve"> Gondang</t>
  </si>
  <si>
    <t xml:space="preserve"> Pagerwangi</t>
  </si>
  <si>
    <t xml:space="preserve"> Pagerayu</t>
  </si>
  <si>
    <t xml:space="preserve"> Krupuk</t>
  </si>
  <si>
    <t xml:space="preserve"> Erang</t>
  </si>
  <si>
    <t xml:space="preserve"> Kuto</t>
  </si>
  <si>
    <t xml:space="preserve"> Bodri</t>
  </si>
  <si>
    <t xml:space="preserve"> Blukar</t>
  </si>
  <si>
    <t xml:space="preserve"> Blorong</t>
  </si>
  <si>
    <t xml:space="preserve"> Plumbon</t>
  </si>
  <si>
    <t xml:space="preserve"> Babon</t>
  </si>
  <si>
    <t xml:space="preserve"> Jragung</t>
  </si>
  <si>
    <t xml:space="preserve"> Tuntang</t>
  </si>
  <si>
    <t xml:space="preserve"> Senjoyo</t>
  </si>
  <si>
    <t xml:space="preserve"> Pangus</t>
  </si>
  <si>
    <t xml:space="preserve"> Jajar</t>
  </si>
  <si>
    <t xml:space="preserve"> Bakalan</t>
  </si>
  <si>
    <t xml:space="preserve"> Gelis</t>
  </si>
  <si>
    <t xml:space="preserve"> Serang</t>
  </si>
  <si>
    <t xml:space="preserve"> Sudo</t>
  </si>
  <si>
    <t xml:space="preserve"> Randugunting</t>
  </si>
  <si>
    <t xml:space="preserve"> Kramat</t>
  </si>
  <si>
    <t xml:space="preserve"> Kedungwaru</t>
  </si>
  <si>
    <t xml:space="preserve"> Logung</t>
  </si>
  <si>
    <t xml:space="preserve"> Siwayut</t>
  </si>
  <si>
    <t xml:space="preserve"> Widodaren</t>
  </si>
  <si>
    <t xml:space="preserve"> Sentul</t>
  </si>
  <si>
    <t xml:space="preserve"> Serang / K. Lusi</t>
  </si>
  <si>
    <t xml:space="preserve"> Siwaluh</t>
  </si>
  <si>
    <t xml:space="preserve"> Bengw Solo</t>
  </si>
  <si>
    <t xml:space="preserve"> Kaligawe</t>
  </si>
  <si>
    <t xml:space="preserve"> Jebol</t>
  </si>
  <si>
    <t xml:space="preserve"> Pusur</t>
  </si>
  <si>
    <t xml:space="preserve"> Jlantah</t>
  </si>
  <si>
    <t xml:space="preserve"> Temon</t>
  </si>
  <si>
    <t xml:space="preserve"> Walikan</t>
  </si>
  <si>
    <t xml:space="preserve"> Bangsri</t>
  </si>
  <si>
    <t xml:space="preserve"> samin'</t>
  </si>
  <si>
    <t xml:space="preserve"> Latak</t>
  </si>
  <si>
    <t>. Naruan</t>
  </si>
  <si>
    <t xml:space="preserve"> Cemoro</t>
  </si>
  <si>
    <t xml:space="preserve"> Gandul</t>
  </si>
  <si>
    <t xml:space="preserve"> Larangan</t>
  </si>
  <si>
    <t xml:space="preserve"> Tempel</t>
  </si>
  <si>
    <t xml:space="preserve"> Andong</t>
  </si>
  <si>
    <t xml:space="preserve"> Butak</t>
  </si>
  <si>
    <t xml:space="preserve"> Pepe</t>
  </si>
  <si>
    <t xml:space="preserve"> Legok</t>
  </si>
  <si>
    <t xml:space="preserve"> Kumpul</t>
  </si>
  <si>
    <t xml:space="preserve"> Kenatan</t>
  </si>
  <si>
    <t xml:space="preserve"> Sragen</t>
  </si>
  <si>
    <t xml:space="preserve"> Jamplang</t>
  </si>
  <si>
    <t xml:space="preserve"> tangsi</t>
  </si>
  <si>
    <t xml:space="preserve"> Butuh</t>
  </si>
  <si>
    <t xml:space="preserve"> Bogowonto</t>
  </si>
  <si>
    <t xml:space="preserve"> Pringtutul</t>
  </si>
  <si>
    <t xml:space="preserve"> Karag</t>
  </si>
  <si>
    <t xml:space="preserve"> Kemit</t>
  </si>
  <si>
    <t xml:space="preserve"> Bedegolan</t>
  </si>
  <si>
    <t xml:space="preserve"> Badegolan</t>
  </si>
  <si>
    <t xml:space="preserve"> Serayu</t>
  </si>
  <si>
    <t xml:space="preserve"> Datar</t>
  </si>
  <si>
    <t xml:space="preserve"> Galeh</t>
  </si>
  <si>
    <t xml:space="preserve"> Progo</t>
  </si>
  <si>
    <t xml:space="preserve"> Elo</t>
  </si>
  <si>
    <t xml:space="preserve"> Tipar</t>
  </si>
  <si>
    <t xml:space="preserve"> Citanduy</t>
  </si>
  <si>
    <t xml:space="preserve"> Banjaran</t>
  </si>
  <si>
    <t xml:space="preserve"> Prukut</t>
  </si>
  <si>
    <t xml:space="preserve"> Pelus</t>
  </si>
  <si>
    <t xml:space="preserve"> Kuncup</t>
  </si>
  <si>
    <t xml:space="preserve"> Jompo</t>
  </si>
  <si>
    <t xml:space="preserve"> Borag</t>
  </si>
  <si>
    <t xml:space="preserve"> Cijalu</t>
  </si>
  <si>
    <t xml:space="preserve"> Piasa</t>
  </si>
  <si>
    <t xml:space="preserve"> Cilemeuh</t>
  </si>
  <si>
    <t xml:space="preserve"> Ijo</t>
  </si>
  <si>
    <t>JUMLAH</t>
  </si>
  <si>
    <t>TAHUN</t>
  </si>
  <si>
    <t xml:space="preserve">PADA  PUNCAK MUSIM KEMARAU PERTAHUN SE JAWA TENGAH </t>
  </si>
  <si>
    <t>2008 / september</t>
  </si>
  <si>
    <t>2009 / September</t>
  </si>
  <si>
    <t>2010 / September</t>
  </si>
  <si>
    <t>2011 / september</t>
  </si>
  <si>
    <t>2012 / september</t>
  </si>
  <si>
    <t>2013 / April</t>
  </si>
  <si>
    <t xml:space="preserve">MINGGU   ke  V ( Tgl. 23 April  s/d  29 April 2013 )  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</si>
</sst>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_(* #,##0.000_);_(* \(#,##0.000\);_(* &quot;-&quot;??_);_(@_)"/>
    <numFmt numFmtId="171" formatCode="_(&quot;$&quot;* #,##0.000_);_(&quot;$&quot;* \(#,##0.000\);_(&quot;$&quot;* &quot;-&quot;??_);_(@_)"/>
    <numFmt numFmtId="172" formatCode="0.000"/>
    <numFmt numFmtId="173" formatCode="_(* #,##0.0_);_(* \(#,##0.0\);_(* &quot;-&quot;??_);_(@_)"/>
    <numFmt numFmtId="174" formatCode="_(* #,##0_);_(* \(#,##0\);_(* &quot;-&quot;??_);_(@_)"/>
    <numFmt numFmtId="175" formatCode="0.0"/>
    <numFmt numFmtId="176" formatCode="_(* #,##0.000_);_(* \(#,##0.000\);_(* &quot;-&quot;???_);_(@_)"/>
    <numFmt numFmtId="177" formatCode="_(* #,##0.0000_);_(* \(#,##0.0000\);_(* &quot;-&quot;??_);_(@_)"/>
    <numFmt numFmtId="178" formatCode="0.0000"/>
    <numFmt numFmtId="179" formatCode="_(* #,##0.00000_);_(* \(#,##0.00000\);_(* &quot;-&quot;??_);_(@_)"/>
    <numFmt numFmtId="180" formatCode="0.0000000"/>
    <numFmt numFmtId="181" formatCode="0.000000"/>
    <numFmt numFmtId="182" formatCode="0.00000"/>
    <numFmt numFmtId="183" formatCode="_(* #,##0.00_);_(* \(#,##0.00\);_(* &quot;-&quot;???_);_(@_)"/>
    <numFmt numFmtId="184" formatCode="_(* #,##0.0_);_(* \(#,##0.0\);_(* &quot;-&quot;???_);_(@_)"/>
    <numFmt numFmtId="185" formatCode="_(* #,##0_);_(* \(#,##0\);_(* &quot;-&quot;???_);_(@_)"/>
    <numFmt numFmtId="186" formatCode="#,##0.000_);\(#,##0.000\)"/>
    <numFmt numFmtId="187" formatCode="_(* #,##0.000000_);_(* \(#,##0.000000\);_(* &quot;-&quot;??_);_(@_)"/>
    <numFmt numFmtId="188" formatCode="0.00000000"/>
    <numFmt numFmtId="189" formatCode="_(* #,##0.0_);_(* \(#,##0.0\);_(* &quot;-&quot;?_);_(@_)"/>
    <numFmt numFmtId="190" formatCode="[$-409]dddd\,\ mmmm\ dd\,\ yyyy"/>
    <numFmt numFmtId="191" formatCode="[$-409]h:mm:ss\ AM/PM"/>
    <numFmt numFmtId="192" formatCode="_(* #,##0.0_);_(* \(#,##0.0\);_(* &quot;-&quot;_);_(@_)"/>
    <numFmt numFmtId="193" formatCode="_(* #,##0.00_);_(* \(#,##0.00\);_(* &quot;-&quot;_);_(@_)"/>
    <numFmt numFmtId="194" formatCode="_(* #,##0.000_);_(* \(#,##0.000\);_(* &quot;-&quot;_);_(@_)"/>
    <numFmt numFmtId="195" formatCode="_ * #,##0_)_R_p_ ;_ * \(#,##0\)_R_p_ ;_ * &quot;-&quot;_)_R_p_ ;_ @_ "/>
    <numFmt numFmtId="196" formatCode="#,##0.000"/>
    <numFmt numFmtId="197" formatCode="_ * #,##0.00_)_R_p_ ;_ * \(#,##0.00\)_R_p_ ;_ * &quot;-&quot;??_)_R_p_ ;_ @_ "/>
    <numFmt numFmtId="198" formatCode="#,##0.000;[Red]#,##0.000"/>
    <numFmt numFmtId="199" formatCode="_ * #,##0.0_)_R_p_ ;_ * \(#,##0.0\)_R_p_ ;_ * &quot;-&quot;_)_R_p_ ;_ @_ "/>
    <numFmt numFmtId="200" formatCode="_ * #,##0.00_)_R_p_ ;_ * \(#,##0.00\)_R_p_ ;_ * &quot;-&quot;_)_R_p_ ;_ @_ "/>
    <numFmt numFmtId="201" formatCode="_ * #,##0.000_)_R_p_ ;_ * \(#,##0.000\)_R_p_ ;_ * &quot;-&quot;_)_R_p_ ;_ @_ "/>
    <numFmt numFmtId="202" formatCode="_(* #,##0.00_);_(* \(#,##0.00\);_(* \-??_);_(@_)"/>
    <numFmt numFmtId="203" formatCode="_(* #,##0.000_);_(* \(#,##0.000\);_(* \-??_);_(@_)"/>
    <numFmt numFmtId="204" formatCode="_(* #,##0.0000_);_(* \(#,##0.0000\);_(* &quot;-&quot;_);_(@_)"/>
    <numFmt numFmtId="205" formatCode="_ * #,##0.0000_)_R_p_ ;_ * \(#,##0.0000\)_R_p_ ;_ * &quot;-&quot;_)_R_p_ ;_ @_ "/>
    <numFmt numFmtId="206" formatCode="_ * #,##0.00000_)_R_p_ ;_ * \(#,##0.00000\)_R_p_ ;_ * &quot;-&quot;_)_R_p_ ;_ @_ "/>
    <numFmt numFmtId="207" formatCode="_ * #,##0.000000_)_R_p_ ;_ * \(#,##0.000000\)_R_p_ ;_ * &quot;-&quot;_)_R_p_ ;_ @_ "/>
    <numFmt numFmtId="208" formatCode="_ * #,##0.0000000_)_R_p_ ;_ * \(#,##0.0000000\)_R_p_ ;_ * &quot;-&quot;_)_R_p_ ;_ @_ "/>
  </numFmts>
  <fonts count="10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 Black"/>
      <family val="2"/>
    </font>
    <font>
      <b/>
      <sz val="16"/>
      <name val="Lucida Handwriting"/>
      <family val="4"/>
    </font>
    <font>
      <sz val="8"/>
      <name val="Arial"/>
      <family val="2"/>
    </font>
    <font>
      <b/>
      <vertAlign val="superscript"/>
      <sz val="12"/>
      <name val="Arial"/>
      <family val="2"/>
    </font>
    <font>
      <b/>
      <sz val="18"/>
      <name val="Lucida Handwriting"/>
      <family val="4"/>
    </font>
    <font>
      <b/>
      <sz val="1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2"/>
      <name val="Arial Black"/>
      <family val="2"/>
    </font>
    <font>
      <sz val="14"/>
      <name val="Arial Black"/>
      <family val="2"/>
    </font>
    <font>
      <sz val="9"/>
      <name val="Arial"/>
      <family val="2"/>
    </font>
    <font>
      <b/>
      <sz val="9"/>
      <name val="Antique Olive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Script MT Bold"/>
      <family val="4"/>
    </font>
    <font>
      <b/>
      <u val="single"/>
      <sz val="16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4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name val="Arial Black"/>
      <family val="2"/>
    </font>
    <font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10"/>
      <name val="Arial"/>
      <family val="2"/>
    </font>
    <font>
      <sz val="12"/>
      <color indexed="9"/>
      <name val="Arial"/>
      <family val="2"/>
    </font>
    <font>
      <b/>
      <u val="single"/>
      <sz val="10"/>
      <name val="Arial"/>
      <family val="2"/>
    </font>
    <font>
      <sz val="17.75"/>
      <color indexed="53"/>
      <name val="Arial"/>
      <family val="0"/>
    </font>
    <font>
      <b/>
      <sz val="11"/>
      <color indexed="8"/>
      <name val="Arial"/>
      <family val="0"/>
    </font>
    <font>
      <sz val="21.5"/>
      <color indexed="8"/>
      <name val="Arial"/>
      <family val="0"/>
    </font>
    <font>
      <b/>
      <sz val="10.25"/>
      <color indexed="8"/>
      <name val="Arial"/>
      <family val="0"/>
    </font>
    <font>
      <b/>
      <sz val="9"/>
      <color indexed="8"/>
      <name val="Arial"/>
      <family val="0"/>
    </font>
    <font>
      <sz val="11.8"/>
      <color indexed="8"/>
      <name val="Arial"/>
      <family val="0"/>
    </font>
    <font>
      <sz val="10"/>
      <color indexed="8"/>
      <name val="Calibri"/>
      <family val="0"/>
    </font>
    <font>
      <b/>
      <sz val="8"/>
      <color indexed="8"/>
      <name val="Baskerville Old Face"/>
      <family val="0"/>
    </font>
    <font>
      <sz val="10"/>
      <color indexed="10"/>
      <name val="Calibri"/>
      <family val="0"/>
    </font>
    <font>
      <sz val="29"/>
      <color indexed="8"/>
      <name val="Arial"/>
      <family val="0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sz val="29.75"/>
      <color indexed="8"/>
      <name val="Arial"/>
      <family val="0"/>
    </font>
    <font>
      <b/>
      <sz val="15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 Narrow"/>
      <family val="2"/>
    </font>
    <font>
      <sz val="12"/>
      <color indexed="8"/>
      <name val="Arial Narrow"/>
      <family val="2"/>
    </font>
    <font>
      <b/>
      <sz val="16"/>
      <color indexed="53"/>
      <name val="Arial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b/>
      <sz val="14"/>
      <color indexed="8"/>
      <name val="Tahoma"/>
      <family val="0"/>
    </font>
    <font>
      <sz val="18"/>
      <color indexed="8"/>
      <name val="Calibri"/>
      <family val="0"/>
    </font>
    <font>
      <b/>
      <sz val="18"/>
      <color indexed="10"/>
      <name val="Arial"/>
      <family val="0"/>
    </font>
    <font>
      <b/>
      <sz val="24"/>
      <color indexed="8"/>
      <name val="Calibri"/>
      <family val="0"/>
    </font>
    <font>
      <b/>
      <sz val="21.5"/>
      <color indexed="10"/>
      <name val="Arial"/>
      <family val="0"/>
    </font>
    <font>
      <b/>
      <sz val="18"/>
      <color indexed="8"/>
      <name val="Berlin Sans FB Demi"/>
      <family val="0"/>
    </font>
    <font>
      <b/>
      <sz val="16"/>
      <color indexed="8"/>
      <name val="Arial"/>
      <family val="0"/>
    </font>
    <font>
      <b/>
      <sz val="14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5"/>
      <name val="Arial Narrow"/>
      <family val="2"/>
    </font>
    <font>
      <sz val="12"/>
      <color theme="1"/>
      <name val="Arial Narrow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darkDown"/>
    </fill>
    <fill>
      <patternFill patternType="mediumGray"/>
    </fill>
    <fill>
      <patternFill patternType="lightVertical"/>
    </fill>
    <fill>
      <patternFill patternType="lightHorizontal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 style="thin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 style="medium"/>
      <top style="thick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ck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ck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ck"/>
      <top style="thick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ck"/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medium"/>
      <right style="medium"/>
      <top style="medium"/>
      <bottom style="medium"/>
    </border>
    <border>
      <left style="thin"/>
      <right style="thick"/>
      <top style="thin"/>
      <bottom style="thin"/>
    </border>
    <border>
      <left style="thin"/>
      <right style="thick"/>
      <top style="medium"/>
      <bottom style="thick"/>
    </border>
    <border>
      <left style="thin"/>
      <right>
        <color indexed="63"/>
      </right>
      <top style="thin"/>
      <bottom style="thin"/>
    </border>
    <border>
      <left style="thin"/>
      <right style="medium"/>
      <top style="thick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ck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medium"/>
      <bottom style="medium"/>
    </border>
    <border>
      <left style="thick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ck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ck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ck"/>
      <bottom style="thick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ck"/>
    </border>
    <border>
      <left style="medium"/>
      <right style="medium"/>
      <top style="thick"/>
      <bottom style="thick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 style="medium"/>
      <right>
        <color indexed="63"/>
      </right>
      <top style="thick"/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0" applyNumberFormat="0" applyBorder="0" applyAlignment="0" applyProtection="0"/>
    <xf numFmtId="0" fontId="84" fillId="27" borderId="1" applyNumberFormat="0" applyAlignment="0" applyProtection="0"/>
    <xf numFmtId="0" fontId="8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1" fillId="30" borderId="1" applyNumberFormat="0" applyAlignment="0" applyProtection="0"/>
    <xf numFmtId="0" fontId="92" fillId="0" borderId="6" applyNumberFormat="0" applyFill="0" applyAlignment="0" applyProtection="0"/>
    <xf numFmtId="0" fontId="93" fillId="31" borderId="0" applyNumberFormat="0" applyBorder="0" applyAlignment="0" applyProtection="0"/>
    <xf numFmtId="0" fontId="0" fillId="32" borderId="7" applyNumberFormat="0" applyFont="0" applyAlignment="0" applyProtection="0"/>
    <xf numFmtId="0" fontId="94" fillId="27" borderId="8" applyNumberFormat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</cellStyleXfs>
  <cellXfs count="5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70" fontId="1" fillId="0" borderId="13" xfId="42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70" fontId="1" fillId="0" borderId="16" xfId="42" applyNumberFormat="1" applyFont="1" applyBorder="1" applyAlignment="1">
      <alignment/>
    </xf>
    <xf numFmtId="170" fontId="1" fillId="0" borderId="15" xfId="42" applyNumberFormat="1" applyFont="1" applyBorder="1" applyAlignment="1">
      <alignment/>
    </xf>
    <xf numFmtId="174" fontId="1" fillId="0" borderId="13" xfId="42" applyNumberFormat="1" applyFont="1" applyBorder="1" applyAlignment="1">
      <alignment/>
    </xf>
    <xf numFmtId="174" fontId="1" fillId="0" borderId="15" xfId="42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0" fontId="1" fillId="0" borderId="18" xfId="42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174" fontId="1" fillId="0" borderId="18" xfId="42" applyNumberFormat="1" applyFont="1" applyBorder="1" applyAlignment="1">
      <alignment/>
    </xf>
    <xf numFmtId="174" fontId="1" fillId="0" borderId="16" xfId="42" applyNumberFormat="1" applyFont="1" applyBorder="1" applyAlignment="1">
      <alignment/>
    </xf>
    <xf numFmtId="0" fontId="1" fillId="0" borderId="17" xfId="0" applyFont="1" applyBorder="1" applyAlignment="1">
      <alignment/>
    </xf>
    <xf numFmtId="174" fontId="1" fillId="0" borderId="17" xfId="42" applyNumberFormat="1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0" xfId="0" applyFont="1" applyAlignment="1">
      <alignment horizontal="center"/>
    </xf>
    <xf numFmtId="43" fontId="1" fillId="0" borderId="0" xfId="42" applyFont="1" applyAlignment="1">
      <alignment/>
    </xf>
    <xf numFmtId="170" fontId="1" fillId="0" borderId="0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/>
    </xf>
    <xf numFmtId="174" fontId="1" fillId="0" borderId="34" xfId="42" applyNumberFormat="1" applyFont="1" applyBorder="1" applyAlignment="1">
      <alignment/>
    </xf>
    <xf numFmtId="170" fontId="1" fillId="0" borderId="13" xfId="42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3" fontId="1" fillId="0" borderId="0" xfId="42" applyFont="1" applyBorder="1" applyAlignment="1">
      <alignment horizontal="center"/>
    </xf>
    <xf numFmtId="174" fontId="1" fillId="0" borderId="35" xfId="42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170" fontId="1" fillId="0" borderId="13" xfId="42" applyNumberFormat="1" applyFont="1" applyBorder="1" applyAlignment="1" quotePrefix="1">
      <alignment horizontal="center"/>
    </xf>
    <xf numFmtId="174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43" fontId="3" fillId="0" borderId="0" xfId="42" applyFont="1" applyBorder="1" applyAlignment="1" quotePrefix="1">
      <alignment horizontal="center"/>
    </xf>
    <xf numFmtId="43" fontId="1" fillId="0" borderId="0" xfId="42" applyFont="1" applyBorder="1" applyAlignment="1" quotePrefix="1">
      <alignment horizontal="center"/>
    </xf>
    <xf numFmtId="174" fontId="1" fillId="0" borderId="13" xfId="0" applyNumberFormat="1" applyFont="1" applyBorder="1" applyAlignment="1">
      <alignment/>
    </xf>
    <xf numFmtId="174" fontId="1" fillId="0" borderId="36" xfId="42" applyNumberFormat="1" applyFont="1" applyBorder="1" applyAlignment="1">
      <alignment/>
    </xf>
    <xf numFmtId="0" fontId="1" fillId="0" borderId="37" xfId="0" applyFont="1" applyBorder="1" applyAlignment="1">
      <alignment horizontal="center"/>
    </xf>
    <xf numFmtId="170" fontId="1" fillId="0" borderId="38" xfId="42" applyNumberFormat="1" applyFont="1" applyBorder="1" applyAlignment="1">
      <alignment/>
    </xf>
    <xf numFmtId="174" fontId="1" fillId="0" borderId="38" xfId="42" applyNumberFormat="1" applyFont="1" applyBorder="1" applyAlignment="1">
      <alignment/>
    </xf>
    <xf numFmtId="174" fontId="1" fillId="0" borderId="33" xfId="42" applyNumberFormat="1" applyFont="1" applyBorder="1" applyAlignment="1">
      <alignment/>
    </xf>
    <xf numFmtId="174" fontId="1" fillId="0" borderId="0" xfId="42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0" fontId="1" fillId="0" borderId="39" xfId="0" applyFont="1" applyBorder="1" applyAlignment="1">
      <alignment horizontal="center"/>
    </xf>
    <xf numFmtId="43" fontId="1" fillId="0" borderId="22" xfId="42" applyFont="1" applyBorder="1" applyAlignment="1">
      <alignment/>
    </xf>
    <xf numFmtId="170" fontId="1" fillId="0" borderId="0" xfId="42" applyNumberFormat="1" applyFont="1" applyBorder="1" applyAlignment="1" quotePrefix="1">
      <alignment horizontal="center"/>
    </xf>
    <xf numFmtId="170" fontId="1" fillId="0" borderId="16" xfId="42" applyNumberFormat="1" applyFont="1" applyBorder="1" applyAlignment="1" quotePrefix="1">
      <alignment horizontal="center"/>
    </xf>
    <xf numFmtId="170" fontId="1" fillId="0" borderId="16" xfId="42" applyNumberFormat="1" applyFont="1" applyBorder="1" applyAlignment="1">
      <alignment horizontal="center"/>
    </xf>
    <xf numFmtId="170" fontId="1" fillId="0" borderId="17" xfId="42" applyNumberFormat="1" applyFont="1" applyBorder="1" applyAlignment="1" quotePrefix="1">
      <alignment horizontal="center"/>
    </xf>
    <xf numFmtId="170" fontId="1" fillId="0" borderId="18" xfId="42" applyNumberFormat="1" applyFont="1" applyBorder="1" applyAlignment="1">
      <alignment horizontal="center"/>
    </xf>
    <xf numFmtId="170" fontId="0" fillId="0" borderId="0" xfId="42" applyNumberFormat="1" applyFont="1" applyAlignment="1">
      <alignment/>
    </xf>
    <xf numFmtId="174" fontId="8" fillId="0" borderId="18" xfId="42" applyNumberFormat="1" applyFont="1" applyBorder="1" applyAlignment="1">
      <alignment/>
    </xf>
    <xf numFmtId="174" fontId="1" fillId="0" borderId="33" xfId="42" applyNumberFormat="1" applyFont="1" applyBorder="1" applyAlignment="1">
      <alignment horizontal="center"/>
    </xf>
    <xf numFmtId="170" fontId="1" fillId="0" borderId="33" xfId="42" applyNumberFormat="1" applyFont="1" applyBorder="1" applyAlignment="1" quotePrefix="1">
      <alignment horizontal="center"/>
    </xf>
    <xf numFmtId="170" fontId="1" fillId="0" borderId="15" xfId="42" applyNumberFormat="1" applyFont="1" applyBorder="1" applyAlignment="1" quotePrefix="1">
      <alignment horizontal="center"/>
    </xf>
    <xf numFmtId="43" fontId="0" fillId="0" borderId="0" xfId="0" applyNumberFormat="1" applyAlignment="1">
      <alignment/>
    </xf>
    <xf numFmtId="173" fontId="0" fillId="0" borderId="0" xfId="42" applyNumberFormat="1" applyFont="1" applyAlignment="1">
      <alignment/>
    </xf>
    <xf numFmtId="170" fontId="1" fillId="0" borderId="38" xfId="42" applyNumberFormat="1" applyFont="1" applyBorder="1" applyAlignment="1" quotePrefix="1">
      <alignment horizontal="center"/>
    </xf>
    <xf numFmtId="172" fontId="1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2" fillId="0" borderId="40" xfId="0" applyFont="1" applyBorder="1" applyAlignment="1">
      <alignment horizontal="center"/>
    </xf>
    <xf numFmtId="170" fontId="1" fillId="0" borderId="41" xfId="42" applyNumberFormat="1" applyFont="1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43" xfId="0" applyBorder="1" applyAlignment="1">
      <alignment/>
    </xf>
    <xf numFmtId="0" fontId="2" fillId="0" borderId="44" xfId="0" applyFont="1" applyBorder="1" applyAlignment="1">
      <alignment horizontal="center"/>
    </xf>
    <xf numFmtId="43" fontId="2" fillId="0" borderId="45" xfId="42" applyFont="1" applyBorder="1" applyAlignment="1">
      <alignment/>
    </xf>
    <xf numFmtId="43" fontId="2" fillId="0" borderId="46" xfId="42" applyFont="1" applyBorder="1" applyAlignment="1">
      <alignment/>
    </xf>
    <xf numFmtId="170" fontId="1" fillId="0" borderId="15" xfId="42" applyNumberFormat="1" applyFont="1" applyBorder="1" applyAlignment="1">
      <alignment/>
    </xf>
    <xf numFmtId="170" fontId="1" fillId="0" borderId="13" xfId="42" applyNumberFormat="1" applyFont="1" applyBorder="1" applyAlignment="1">
      <alignment/>
    </xf>
    <xf numFmtId="0" fontId="1" fillId="0" borderId="47" xfId="0" applyFont="1" applyBorder="1" applyAlignment="1">
      <alignment horizontal="center"/>
    </xf>
    <xf numFmtId="43" fontId="1" fillId="0" borderId="34" xfId="42" applyFont="1" applyBorder="1" applyAlignment="1">
      <alignment/>
    </xf>
    <xf numFmtId="0" fontId="1" fillId="0" borderId="48" xfId="0" applyFont="1" applyBorder="1" applyAlignment="1">
      <alignment horizontal="center"/>
    </xf>
    <xf numFmtId="170" fontId="2" fillId="0" borderId="45" xfId="42" applyNumberFormat="1" applyFont="1" applyBorder="1" applyAlignment="1">
      <alignment/>
    </xf>
    <xf numFmtId="170" fontId="2" fillId="0" borderId="49" xfId="42" applyNumberFormat="1" applyFont="1" applyBorder="1" applyAlignment="1">
      <alignment/>
    </xf>
    <xf numFmtId="170" fontId="2" fillId="0" borderId="46" xfId="42" applyNumberFormat="1" applyFont="1" applyBorder="1" applyAlignment="1">
      <alignment/>
    </xf>
    <xf numFmtId="170" fontId="2" fillId="0" borderId="50" xfId="42" applyNumberFormat="1" applyFont="1" applyBorder="1" applyAlignment="1">
      <alignment/>
    </xf>
    <xf numFmtId="170" fontId="2" fillId="0" borderId="46" xfId="42" applyNumberFormat="1" applyFont="1" applyBorder="1" applyAlignment="1">
      <alignment horizontal="center"/>
    </xf>
    <xf numFmtId="43" fontId="1" fillId="0" borderId="0" xfId="42" applyNumberFormat="1" applyFont="1" applyBorder="1" applyAlignment="1" quotePrefix="1">
      <alignment horizontal="center"/>
    </xf>
    <xf numFmtId="43" fontId="1" fillId="0" borderId="0" xfId="42" applyNumberFormat="1" applyFont="1" applyBorder="1" applyAlignment="1">
      <alignment horizontal="center"/>
    </xf>
    <xf numFmtId="43" fontId="1" fillId="0" borderId="0" xfId="42" applyNumberFormat="1" applyFont="1" applyBorder="1" applyAlignment="1">
      <alignment horizontal="left"/>
    </xf>
    <xf numFmtId="43" fontId="1" fillId="0" borderId="0" xfId="42" applyNumberFormat="1" applyFont="1" applyBorder="1" applyAlignment="1" quotePrefix="1">
      <alignment horizontal="left"/>
    </xf>
    <xf numFmtId="170" fontId="1" fillId="0" borderId="0" xfId="42" applyNumberFormat="1" applyFont="1" applyBorder="1" applyAlignment="1">
      <alignment horizontal="left"/>
    </xf>
    <xf numFmtId="173" fontId="1" fillId="0" borderId="0" xfId="42" applyNumberFormat="1" applyFont="1" applyBorder="1" applyAlignment="1" quotePrefix="1">
      <alignment horizontal="center"/>
    </xf>
    <xf numFmtId="174" fontId="1" fillId="0" borderId="0" xfId="42" applyNumberFormat="1" applyFont="1" applyBorder="1" applyAlignment="1" quotePrefix="1">
      <alignment horizontal="center"/>
    </xf>
    <xf numFmtId="0" fontId="2" fillId="0" borderId="0" xfId="0" applyFont="1" applyAlignment="1">
      <alignment/>
    </xf>
    <xf numFmtId="173" fontId="1" fillId="0" borderId="0" xfId="42" applyNumberFormat="1" applyFont="1" applyBorder="1" applyAlignment="1">
      <alignment horizontal="center"/>
    </xf>
    <xf numFmtId="0" fontId="2" fillId="0" borderId="0" xfId="0" applyFont="1" applyAlignment="1" quotePrefix="1">
      <alignment/>
    </xf>
    <xf numFmtId="0" fontId="15" fillId="0" borderId="0" xfId="0" applyFont="1" applyAlignment="1">
      <alignment/>
    </xf>
    <xf numFmtId="170" fontId="1" fillId="0" borderId="51" xfId="42" applyNumberFormat="1" applyFont="1" applyBorder="1" applyAlignment="1" quotePrefix="1">
      <alignment horizontal="center"/>
    </xf>
    <xf numFmtId="0" fontId="4" fillId="0" borderId="3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0" xfId="0" applyFont="1" applyAlignment="1" quotePrefix="1">
      <alignment/>
    </xf>
    <xf numFmtId="170" fontId="1" fillId="33" borderId="13" xfId="42" applyNumberFormat="1" applyFont="1" applyFill="1" applyBorder="1" applyAlignment="1" quotePrefix="1">
      <alignment horizontal="center"/>
    </xf>
    <xf numFmtId="43" fontId="1" fillId="0" borderId="0" xfId="42" applyFont="1" applyBorder="1" applyAlignment="1">
      <alignment/>
    </xf>
    <xf numFmtId="0" fontId="2" fillId="0" borderId="13" xfId="0" applyFont="1" applyBorder="1" applyAlignment="1">
      <alignment/>
    </xf>
    <xf numFmtId="170" fontId="1" fillId="0" borderId="0" xfId="0" applyNumberFormat="1" applyFont="1" applyAlignment="1">
      <alignment/>
    </xf>
    <xf numFmtId="43" fontId="1" fillId="34" borderId="0" xfId="42" applyNumberFormat="1" applyFont="1" applyFill="1" applyBorder="1" applyAlignment="1" quotePrefix="1">
      <alignment horizontal="center"/>
    </xf>
    <xf numFmtId="43" fontId="1" fillId="33" borderId="0" xfId="42" applyNumberFormat="1" applyFont="1" applyFill="1" applyBorder="1" applyAlignment="1" quotePrefix="1">
      <alignment horizontal="center"/>
    </xf>
    <xf numFmtId="0" fontId="2" fillId="0" borderId="52" xfId="0" applyFont="1" applyBorder="1" applyAlignment="1">
      <alignment horizontal="center"/>
    </xf>
    <xf numFmtId="43" fontId="3" fillId="0" borderId="53" xfId="42" applyFont="1" applyBorder="1" applyAlignment="1" quotePrefix="1">
      <alignment horizontal="center"/>
    </xf>
    <xf numFmtId="43" fontId="1" fillId="0" borderId="53" xfId="42" applyNumberFormat="1" applyFont="1" applyBorder="1" applyAlignment="1" quotePrefix="1">
      <alignment horizontal="center"/>
    </xf>
    <xf numFmtId="170" fontId="1" fillId="0" borderId="53" xfId="42" applyNumberFormat="1" applyFont="1" applyBorder="1" applyAlignment="1" quotePrefix="1">
      <alignment horizontal="center"/>
    </xf>
    <xf numFmtId="170" fontId="1" fillId="35" borderId="53" xfId="42" applyNumberFormat="1" applyFont="1" applyFill="1" applyBorder="1" applyAlignment="1" quotePrefix="1">
      <alignment horizontal="center"/>
    </xf>
    <xf numFmtId="43" fontId="1" fillId="0" borderId="53" xfId="42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3" fontId="3" fillId="0" borderId="13" xfId="42" applyFont="1" applyBorder="1" applyAlignment="1" quotePrefix="1">
      <alignment horizontal="center"/>
    </xf>
    <xf numFmtId="43" fontId="1" fillId="0" borderId="13" xfId="42" applyNumberFormat="1" applyFont="1" applyBorder="1" applyAlignment="1" quotePrefix="1">
      <alignment horizontal="center"/>
    </xf>
    <xf numFmtId="43" fontId="1" fillId="35" borderId="13" xfId="42" applyNumberFormat="1" applyFont="1" applyFill="1" applyBorder="1" applyAlignment="1" quotePrefix="1">
      <alignment horizontal="center"/>
    </xf>
    <xf numFmtId="43" fontId="1" fillId="33" borderId="13" xfId="42" applyNumberFormat="1" applyFont="1" applyFill="1" applyBorder="1" applyAlignment="1" quotePrefix="1">
      <alignment horizontal="center"/>
    </xf>
    <xf numFmtId="43" fontId="1" fillId="0" borderId="13" xfId="42" applyNumberFormat="1" applyFont="1" applyBorder="1" applyAlignment="1">
      <alignment horizontal="center"/>
    </xf>
    <xf numFmtId="43" fontId="1" fillId="0" borderId="13" xfId="0" applyNumberFormat="1" applyFont="1" applyBorder="1" applyAlignment="1">
      <alignment/>
    </xf>
    <xf numFmtId="0" fontId="18" fillId="36" borderId="43" xfId="0" applyFont="1" applyFill="1" applyBorder="1" applyAlignment="1">
      <alignment horizontal="center"/>
    </xf>
    <xf numFmtId="0" fontId="7" fillId="36" borderId="44" xfId="0" applyFont="1" applyFill="1" applyBorder="1" applyAlignment="1">
      <alignment horizontal="center"/>
    </xf>
    <xf numFmtId="0" fontId="2" fillId="36" borderId="44" xfId="0" applyFont="1" applyFill="1" applyBorder="1" applyAlignment="1">
      <alignment horizontal="center"/>
    </xf>
    <xf numFmtId="43" fontId="1" fillId="0" borderId="0" xfId="0" applyNumberFormat="1" applyFont="1" applyBorder="1" applyAlignment="1">
      <alignment/>
    </xf>
    <xf numFmtId="174" fontId="0" fillId="0" borderId="0" xfId="42" applyNumberFormat="1" applyFont="1" applyBorder="1" applyAlignment="1" quotePrefix="1">
      <alignment horizontal="center"/>
    </xf>
    <xf numFmtId="0" fontId="20" fillId="0" borderId="0" xfId="0" applyFont="1" applyAlignment="1">
      <alignment/>
    </xf>
    <xf numFmtId="0" fontId="2" fillId="37" borderId="24" xfId="0" applyFont="1" applyFill="1" applyBorder="1" applyAlignment="1">
      <alignment horizontal="center"/>
    </xf>
    <xf numFmtId="0" fontId="2" fillId="37" borderId="25" xfId="0" applyFont="1" applyFill="1" applyBorder="1" applyAlignment="1">
      <alignment horizontal="center"/>
    </xf>
    <xf numFmtId="0" fontId="2" fillId="38" borderId="24" xfId="0" applyFont="1" applyFill="1" applyBorder="1" applyAlignment="1">
      <alignment horizontal="center"/>
    </xf>
    <xf numFmtId="0" fontId="2" fillId="38" borderId="25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39" borderId="27" xfId="0" applyFont="1" applyFill="1" applyBorder="1" applyAlignment="1">
      <alignment horizontal="center"/>
    </xf>
    <xf numFmtId="0" fontId="2" fillId="38" borderId="19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0" fontId="2" fillId="40" borderId="19" xfId="0" applyFont="1" applyFill="1" applyBorder="1" applyAlignment="1">
      <alignment horizontal="center"/>
    </xf>
    <xf numFmtId="0" fontId="2" fillId="40" borderId="17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2" fillId="41" borderId="54" xfId="0" applyFont="1" applyFill="1" applyBorder="1" applyAlignment="1">
      <alignment horizontal="center"/>
    </xf>
    <xf numFmtId="0" fontId="2" fillId="38" borderId="55" xfId="0" applyFont="1" applyFill="1" applyBorder="1" applyAlignment="1">
      <alignment horizontal="center"/>
    </xf>
    <xf numFmtId="0" fontId="2" fillId="40" borderId="56" xfId="0" applyFont="1" applyFill="1" applyBorder="1" applyAlignment="1">
      <alignment horizontal="center"/>
    </xf>
    <xf numFmtId="0" fontId="2" fillId="38" borderId="57" xfId="0" applyFont="1" applyFill="1" applyBorder="1" applyAlignment="1">
      <alignment horizontal="center"/>
    </xf>
    <xf numFmtId="0" fontId="2" fillId="34" borderId="55" xfId="0" applyFont="1" applyFill="1" applyBorder="1" applyAlignment="1">
      <alignment horizontal="center"/>
    </xf>
    <xf numFmtId="0" fontId="2" fillId="39" borderId="56" xfId="0" applyFont="1" applyFill="1" applyBorder="1" applyAlignment="1">
      <alignment horizontal="center"/>
    </xf>
    <xf numFmtId="0" fontId="2" fillId="42" borderId="58" xfId="0" applyFont="1" applyFill="1" applyBorder="1" applyAlignment="1">
      <alignment horizontal="center"/>
    </xf>
    <xf numFmtId="0" fontId="2" fillId="42" borderId="59" xfId="0" applyFont="1" applyFill="1" applyBorder="1" applyAlignment="1">
      <alignment horizontal="center"/>
    </xf>
    <xf numFmtId="0" fontId="2" fillId="42" borderId="60" xfId="0" applyFont="1" applyFill="1" applyBorder="1" applyAlignment="1">
      <alignment horizontal="center"/>
    </xf>
    <xf numFmtId="0" fontId="2" fillId="42" borderId="61" xfId="0" applyFont="1" applyFill="1" applyBorder="1" applyAlignment="1">
      <alignment horizontal="center"/>
    </xf>
    <xf numFmtId="0" fontId="2" fillId="42" borderId="6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3" fontId="2" fillId="0" borderId="0" xfId="42" applyFont="1" applyBorder="1" applyAlignment="1">
      <alignment/>
    </xf>
    <xf numFmtId="43" fontId="1" fillId="0" borderId="0" xfId="42" applyFont="1" applyBorder="1" applyAlignment="1">
      <alignment/>
    </xf>
    <xf numFmtId="170" fontId="1" fillId="0" borderId="0" xfId="42" applyNumberFormat="1" applyFont="1" applyBorder="1" applyAlignment="1">
      <alignment horizontal="center"/>
    </xf>
    <xf numFmtId="43" fontId="1" fillId="0" borderId="0" xfId="42" applyFont="1" applyBorder="1" applyAlignment="1" quotePrefix="1">
      <alignment horizontal="right"/>
    </xf>
    <xf numFmtId="43" fontId="1" fillId="0" borderId="0" xfId="42" applyFont="1" applyBorder="1" applyAlignment="1" quotePrefix="1">
      <alignment/>
    </xf>
    <xf numFmtId="43" fontId="1" fillId="0" borderId="0" xfId="42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70" fontId="7" fillId="0" borderId="0" xfId="42" applyNumberFormat="1" applyFont="1" applyAlignment="1">
      <alignment/>
    </xf>
    <xf numFmtId="0" fontId="7" fillId="0" borderId="0" xfId="0" applyFont="1" applyAlignment="1">
      <alignment/>
    </xf>
    <xf numFmtId="170" fontId="2" fillId="0" borderId="0" xfId="42" applyNumberFormat="1" applyFont="1" applyAlignment="1">
      <alignment/>
    </xf>
    <xf numFmtId="170" fontId="2" fillId="0" borderId="63" xfId="42" applyNumberFormat="1" applyFont="1" applyBorder="1" applyAlignment="1">
      <alignment/>
    </xf>
    <xf numFmtId="0" fontId="1" fillId="43" borderId="0" xfId="0" applyFont="1" applyFill="1" applyAlignment="1">
      <alignment/>
    </xf>
    <xf numFmtId="0" fontId="23" fillId="0" borderId="0" xfId="0" applyFont="1" applyAlignment="1">
      <alignment horizontal="right"/>
    </xf>
    <xf numFmtId="170" fontId="21" fillId="0" borderId="0" xfId="42" applyNumberFormat="1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 quotePrefix="1">
      <alignment/>
    </xf>
    <xf numFmtId="43" fontId="4" fillId="0" borderId="64" xfId="42" applyFont="1" applyBorder="1" applyAlignment="1">
      <alignment/>
    </xf>
    <xf numFmtId="43" fontId="3" fillId="0" borderId="65" xfId="42" applyFont="1" applyBorder="1" applyAlignment="1">
      <alignment/>
    </xf>
    <xf numFmtId="43" fontId="2" fillId="0" borderId="65" xfId="42" applyNumberFormat="1" applyFont="1" applyBorder="1" applyAlignment="1">
      <alignment/>
    </xf>
    <xf numFmtId="43" fontId="4" fillId="44" borderId="63" xfId="42" applyFont="1" applyFill="1" applyBorder="1" applyAlignment="1">
      <alignment/>
    </xf>
    <xf numFmtId="0" fontId="2" fillId="45" borderId="63" xfId="0" applyFont="1" applyFill="1" applyBorder="1" applyAlignment="1">
      <alignment/>
    </xf>
    <xf numFmtId="0" fontId="22" fillId="46" borderId="63" xfId="0" applyFont="1" applyFill="1" applyBorder="1" applyAlignment="1">
      <alignment/>
    </xf>
    <xf numFmtId="0" fontId="2" fillId="44" borderId="63" xfId="0" applyFont="1" applyFill="1" applyBorder="1" applyAlignment="1">
      <alignment/>
    </xf>
    <xf numFmtId="0" fontId="31" fillId="33" borderId="0" xfId="0" applyFont="1" applyFill="1" applyBorder="1" applyAlignment="1">
      <alignment horizontal="center"/>
    </xf>
    <xf numFmtId="0" fontId="32" fillId="33" borderId="0" xfId="0" applyFont="1" applyFill="1" applyBorder="1" applyAlignment="1">
      <alignment horizontal="center"/>
    </xf>
    <xf numFmtId="0" fontId="33" fillId="33" borderId="0" xfId="0" applyFont="1" applyFill="1" applyBorder="1" applyAlignment="1">
      <alignment horizontal="center"/>
    </xf>
    <xf numFmtId="0" fontId="25" fillId="0" borderId="20" xfId="0" applyFont="1" applyBorder="1" applyAlignment="1">
      <alignment horizontal="center"/>
    </xf>
    <xf numFmtId="170" fontId="27" fillId="0" borderId="18" xfId="42" applyNumberFormat="1" applyFont="1" applyBorder="1" applyAlignment="1">
      <alignment/>
    </xf>
    <xf numFmtId="172" fontId="27" fillId="0" borderId="18" xfId="0" applyNumberFormat="1" applyFont="1" applyBorder="1" applyAlignment="1">
      <alignment horizontal="center"/>
    </xf>
    <xf numFmtId="43" fontId="27" fillId="0" borderId="18" xfId="42" applyFont="1" applyBorder="1" applyAlignment="1" quotePrefix="1">
      <alignment horizontal="center"/>
    </xf>
    <xf numFmtId="170" fontId="27" fillId="0" borderId="18" xfId="42" applyNumberFormat="1" applyFont="1" applyBorder="1" applyAlignment="1" quotePrefix="1">
      <alignment horizontal="center"/>
    </xf>
    <xf numFmtId="43" fontId="27" fillId="0" borderId="22" xfId="42" applyFont="1" applyBorder="1" applyAlignment="1" quotePrefix="1">
      <alignment horizontal="center"/>
    </xf>
    <xf numFmtId="43" fontId="24" fillId="0" borderId="34" xfId="42" applyFont="1" applyBorder="1" applyAlignment="1">
      <alignment/>
    </xf>
    <xf numFmtId="170" fontId="24" fillId="33" borderId="13" xfId="42" applyNumberFormat="1" applyFont="1" applyFill="1" applyBorder="1" applyAlignment="1" quotePrefix="1">
      <alignment horizontal="center"/>
    </xf>
    <xf numFmtId="170" fontId="24" fillId="33" borderId="34" xfId="42" applyNumberFormat="1" applyFont="1" applyFill="1" applyBorder="1" applyAlignment="1" quotePrefix="1">
      <alignment horizontal="center"/>
    </xf>
    <xf numFmtId="43" fontId="24" fillId="0" borderId="13" xfId="42" applyFont="1" applyBorder="1" applyAlignment="1">
      <alignment/>
    </xf>
    <xf numFmtId="174" fontId="24" fillId="33" borderId="13" xfId="42" applyNumberFormat="1" applyFont="1" applyFill="1" applyBorder="1" applyAlignment="1" quotePrefix="1">
      <alignment horizontal="center"/>
    </xf>
    <xf numFmtId="43" fontId="24" fillId="33" borderId="13" xfId="42" applyFont="1" applyFill="1" applyBorder="1" applyAlignment="1" quotePrefix="1">
      <alignment horizontal="center"/>
    </xf>
    <xf numFmtId="170" fontId="24" fillId="33" borderId="13" xfId="42" applyNumberFormat="1" applyFont="1" applyFill="1" applyBorder="1" applyAlignment="1">
      <alignment horizontal="center"/>
    </xf>
    <xf numFmtId="43" fontId="24" fillId="0" borderId="13" xfId="42" applyNumberFormat="1" applyFont="1" applyBorder="1" applyAlignment="1">
      <alignment/>
    </xf>
    <xf numFmtId="43" fontId="24" fillId="0" borderId="17" xfId="42" applyNumberFormat="1" applyFont="1" applyBorder="1" applyAlignment="1">
      <alignment/>
    </xf>
    <xf numFmtId="170" fontId="24" fillId="33" borderId="17" xfId="42" applyNumberFormat="1" applyFont="1" applyFill="1" applyBorder="1" applyAlignment="1" quotePrefix="1">
      <alignment horizontal="center"/>
    </xf>
    <xf numFmtId="43" fontId="24" fillId="0" borderId="33" xfId="42" applyNumberFormat="1" applyFont="1" applyBorder="1" applyAlignment="1">
      <alignment/>
    </xf>
    <xf numFmtId="170" fontId="24" fillId="33" borderId="33" xfId="42" applyNumberFormat="1" applyFont="1" applyFill="1" applyBorder="1" applyAlignment="1" quotePrefix="1">
      <alignment horizontal="center"/>
    </xf>
    <xf numFmtId="0" fontId="24" fillId="0" borderId="37" xfId="0" applyFont="1" applyBorder="1" applyAlignment="1">
      <alignment horizontal="center"/>
    </xf>
    <xf numFmtId="0" fontId="24" fillId="0" borderId="38" xfId="0" applyFont="1" applyBorder="1" applyAlignment="1">
      <alignment/>
    </xf>
    <xf numFmtId="43" fontId="24" fillId="0" borderId="38" xfId="42" applyNumberFormat="1" applyFont="1" applyBorder="1" applyAlignment="1">
      <alignment/>
    </xf>
    <xf numFmtId="170" fontId="24" fillId="33" borderId="38" xfId="42" applyNumberFormat="1" applyFont="1" applyFill="1" applyBorder="1" applyAlignment="1">
      <alignment/>
    </xf>
    <xf numFmtId="0" fontId="24" fillId="0" borderId="0" xfId="0" applyFont="1" applyAlignment="1">
      <alignment/>
    </xf>
    <xf numFmtId="174" fontId="24" fillId="0" borderId="0" xfId="0" applyNumberFormat="1" applyFont="1" applyAlignment="1">
      <alignment/>
    </xf>
    <xf numFmtId="0" fontId="25" fillId="0" borderId="0" xfId="0" applyFont="1" applyFill="1" applyBorder="1" applyAlignment="1">
      <alignment/>
    </xf>
    <xf numFmtId="170" fontId="25" fillId="0" borderId="63" xfId="42" applyNumberFormat="1" applyFont="1" applyBorder="1" applyAlignment="1">
      <alignment/>
    </xf>
    <xf numFmtId="170" fontId="25" fillId="0" borderId="0" xfId="42" applyNumberFormat="1" applyFont="1" applyAlignment="1">
      <alignment/>
    </xf>
    <xf numFmtId="170" fontId="26" fillId="0" borderId="0" xfId="42" applyNumberFormat="1" applyFont="1" applyAlignment="1">
      <alignment/>
    </xf>
    <xf numFmtId="170" fontId="28" fillId="0" borderId="0" xfId="42" applyNumberFormat="1" applyFont="1" applyAlignment="1">
      <alignment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46" borderId="63" xfId="0" applyFont="1" applyFill="1" applyBorder="1" applyAlignment="1">
      <alignment/>
    </xf>
    <xf numFmtId="0" fontId="25" fillId="45" borderId="63" xfId="0" applyFont="1" applyFill="1" applyBorder="1" applyAlignment="1">
      <alignment/>
    </xf>
    <xf numFmtId="43" fontId="29" fillId="44" borderId="63" xfId="42" applyFont="1" applyFill="1" applyBorder="1" applyAlignment="1">
      <alignment/>
    </xf>
    <xf numFmtId="0" fontId="0" fillId="0" borderId="0" xfId="0" applyAlignment="1">
      <alignment vertical="center"/>
    </xf>
    <xf numFmtId="170" fontId="24" fillId="33" borderId="66" xfId="42" applyNumberFormat="1" applyFont="1" applyFill="1" applyBorder="1" applyAlignment="1" quotePrefix="1">
      <alignment horizontal="center"/>
    </xf>
    <xf numFmtId="170" fontId="1" fillId="0" borderId="16" xfId="42" applyNumberFormat="1" applyFont="1" applyBorder="1" applyAlignment="1" quotePrefix="1">
      <alignment/>
    </xf>
    <xf numFmtId="43" fontId="4" fillId="0" borderId="67" xfId="42" applyFont="1" applyBorder="1" applyAlignment="1">
      <alignment/>
    </xf>
    <xf numFmtId="43" fontId="4" fillId="0" borderId="68" xfId="42" applyFont="1" applyBorder="1" applyAlignment="1">
      <alignment/>
    </xf>
    <xf numFmtId="43" fontId="4" fillId="0" borderId="69" xfId="42" applyNumberFormat="1" applyFont="1" applyBorder="1" applyAlignment="1" quotePrefix="1">
      <alignment horizontal="center"/>
    </xf>
    <xf numFmtId="43" fontId="4" fillId="0" borderId="69" xfId="42" applyFont="1" applyBorder="1" applyAlignment="1">
      <alignment/>
    </xf>
    <xf numFmtId="43" fontId="4" fillId="0" borderId="70" xfId="42" applyFont="1" applyBorder="1" applyAlignment="1">
      <alignment/>
    </xf>
    <xf numFmtId="170" fontId="18" fillId="0" borderId="69" xfId="42" applyNumberFormat="1" applyFont="1" applyBorder="1" applyAlignment="1">
      <alignment horizontal="center"/>
    </xf>
    <xf numFmtId="43" fontId="3" fillId="0" borderId="64" xfId="42" applyNumberFormat="1" applyFont="1" applyBorder="1" applyAlignment="1">
      <alignment horizontal="center"/>
    </xf>
    <xf numFmtId="43" fontId="3" fillId="0" borderId="64" xfId="42" applyFont="1" applyBorder="1" applyAlignment="1">
      <alignment/>
    </xf>
    <xf numFmtId="43" fontId="4" fillId="0" borderId="64" xfId="42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3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43" fontId="10" fillId="0" borderId="0" xfId="42" applyFont="1" applyBorder="1" applyAlignment="1">
      <alignment/>
    </xf>
    <xf numFmtId="43" fontId="1" fillId="0" borderId="64" xfId="42" applyFont="1" applyBorder="1" applyAlignment="1">
      <alignment/>
    </xf>
    <xf numFmtId="43" fontId="1" fillId="0" borderId="71" xfId="42" applyFont="1" applyBorder="1" applyAlignment="1">
      <alignment/>
    </xf>
    <xf numFmtId="43" fontId="1" fillId="0" borderId="71" xfId="42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43" fontId="1" fillId="0" borderId="0" xfId="42" applyFont="1" applyAlignment="1">
      <alignment/>
    </xf>
    <xf numFmtId="173" fontId="1" fillId="0" borderId="0" xfId="42" applyNumberFormat="1" applyFont="1" applyAlignment="1">
      <alignment/>
    </xf>
    <xf numFmtId="174" fontId="1" fillId="0" borderId="0" xfId="42" applyNumberFormat="1" applyFont="1" applyAlignment="1">
      <alignment/>
    </xf>
    <xf numFmtId="174" fontId="20" fillId="0" borderId="0" xfId="42" applyNumberFormat="1" applyFont="1" applyAlignment="1">
      <alignment/>
    </xf>
    <xf numFmtId="174" fontId="1" fillId="0" borderId="0" xfId="0" applyNumberFormat="1" applyFont="1" applyAlignment="1">
      <alignment/>
    </xf>
    <xf numFmtId="174" fontId="1" fillId="0" borderId="0" xfId="42" applyNumberFormat="1" applyFont="1" applyAlignment="1">
      <alignment/>
    </xf>
    <xf numFmtId="0" fontId="2" fillId="0" borderId="15" xfId="0" applyFont="1" applyBorder="1" applyAlignment="1">
      <alignment/>
    </xf>
    <xf numFmtId="174" fontId="2" fillId="0" borderId="15" xfId="42" applyNumberFormat="1" applyFont="1" applyBorder="1" applyAlignment="1">
      <alignment/>
    </xf>
    <xf numFmtId="174" fontId="2" fillId="0" borderId="13" xfId="42" applyNumberFormat="1" applyFont="1" applyBorder="1" applyAlignment="1">
      <alignment/>
    </xf>
    <xf numFmtId="0" fontId="2" fillId="0" borderId="16" xfId="0" applyFont="1" applyBorder="1" applyAlignment="1">
      <alignment/>
    </xf>
    <xf numFmtId="174" fontId="2" fillId="0" borderId="16" xfId="42" applyNumberFormat="1" applyFont="1" applyBorder="1" applyAlignment="1">
      <alignment/>
    </xf>
    <xf numFmtId="194" fontId="1" fillId="0" borderId="13" xfId="43" applyNumberFormat="1" applyFont="1" applyBorder="1" applyAlignment="1">
      <alignment/>
    </xf>
    <xf numFmtId="0" fontId="3" fillId="0" borderId="33" xfId="0" applyFont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43" fontId="34" fillId="0" borderId="0" xfId="42" applyNumberFormat="1" applyFont="1" applyBorder="1" applyAlignment="1" quotePrefix="1">
      <alignment horizontal="center"/>
    </xf>
    <xf numFmtId="170" fontId="1" fillId="0" borderId="72" xfId="42" applyNumberFormat="1" applyFont="1" applyBorder="1" applyAlignment="1">
      <alignment/>
    </xf>
    <xf numFmtId="170" fontId="1" fillId="0" borderId="72" xfId="0" applyNumberFormat="1" applyFont="1" applyBorder="1" applyAlignment="1">
      <alignment/>
    </xf>
    <xf numFmtId="170" fontId="1" fillId="0" borderId="16" xfId="42" applyNumberFormat="1" applyFont="1" applyBorder="1" applyAlignment="1" quotePrefix="1">
      <alignment horizontal="center" vertical="center"/>
    </xf>
    <xf numFmtId="170" fontId="1" fillId="33" borderId="0" xfId="0" applyNumberFormat="1" applyFont="1" applyFill="1" applyAlignment="1">
      <alignment/>
    </xf>
    <xf numFmtId="170" fontId="1" fillId="33" borderId="0" xfId="42" applyNumberFormat="1" applyFont="1" applyFill="1" applyBorder="1" applyAlignment="1">
      <alignment horizontal="center"/>
    </xf>
    <xf numFmtId="194" fontId="1" fillId="33" borderId="0" xfId="43" applyNumberFormat="1" applyFont="1" applyFill="1" applyBorder="1" applyAlignment="1">
      <alignment/>
    </xf>
    <xf numFmtId="176" fontId="1" fillId="33" borderId="0" xfId="0" applyNumberFormat="1" applyFont="1" applyFill="1" applyAlignment="1">
      <alignment/>
    </xf>
    <xf numFmtId="43" fontId="1" fillId="33" borderId="0" xfId="42" applyFont="1" applyFill="1" applyBorder="1" applyAlignment="1">
      <alignment/>
    </xf>
    <xf numFmtId="170" fontId="1" fillId="33" borderId="0" xfId="42" applyNumberFormat="1" applyFont="1" applyFill="1" applyBorder="1" applyAlignment="1" quotePrefix="1">
      <alignment horizontal="center"/>
    </xf>
    <xf numFmtId="0" fontId="4" fillId="0" borderId="0" xfId="0" applyFont="1" applyBorder="1" applyAlignment="1">
      <alignment horizontal="center" vertical="center"/>
    </xf>
    <xf numFmtId="174" fontId="1" fillId="0" borderId="73" xfId="42" applyNumberFormat="1" applyFont="1" applyBorder="1" applyAlignment="1">
      <alignment/>
    </xf>
    <xf numFmtId="170" fontId="1" fillId="0" borderId="0" xfId="42" applyNumberFormat="1" applyFont="1" applyBorder="1" applyAlignment="1">
      <alignment/>
    </xf>
    <xf numFmtId="43" fontId="2" fillId="0" borderId="0" xfId="42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74" xfId="0" applyFont="1" applyBorder="1" applyAlignment="1">
      <alignment/>
    </xf>
    <xf numFmtId="0" fontId="1" fillId="0" borderId="66" xfId="0" applyFont="1" applyBorder="1" applyAlignment="1">
      <alignment/>
    </xf>
    <xf numFmtId="0" fontId="1" fillId="0" borderId="33" xfId="0" applyFont="1" applyBorder="1" applyAlignment="1">
      <alignment horizontal="center"/>
    </xf>
    <xf numFmtId="170" fontId="35" fillId="33" borderId="53" xfId="42" applyNumberFormat="1" applyFont="1" applyFill="1" applyBorder="1" applyAlignment="1" quotePrefix="1">
      <alignment horizontal="center"/>
    </xf>
    <xf numFmtId="43" fontId="35" fillId="33" borderId="13" xfId="42" applyNumberFormat="1" applyFont="1" applyFill="1" applyBorder="1" applyAlignment="1" quotePrefix="1">
      <alignment horizontal="center"/>
    </xf>
    <xf numFmtId="170" fontId="1" fillId="33" borderId="13" xfId="42" applyNumberFormat="1" applyFont="1" applyFill="1" applyBorder="1" applyAlignment="1" quotePrefix="1">
      <alignment/>
    </xf>
    <xf numFmtId="43" fontId="24" fillId="0" borderId="75" xfId="42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4" fillId="0" borderId="76" xfId="0" applyFont="1" applyBorder="1" applyAlignment="1">
      <alignment horizontal="center"/>
    </xf>
    <xf numFmtId="0" fontId="24" fillId="0" borderId="77" xfId="0" applyFont="1" applyBorder="1" applyAlignment="1">
      <alignment/>
    </xf>
    <xf numFmtId="0" fontId="24" fillId="0" borderId="78" xfId="0" applyFont="1" applyBorder="1" applyAlignment="1">
      <alignment horizontal="center"/>
    </xf>
    <xf numFmtId="0" fontId="24" fillId="0" borderId="79" xfId="0" applyFont="1" applyBorder="1" applyAlignment="1">
      <alignment/>
    </xf>
    <xf numFmtId="0" fontId="98" fillId="0" borderId="79" xfId="0" applyFont="1" applyBorder="1" applyAlignment="1">
      <alignment/>
    </xf>
    <xf numFmtId="0" fontId="24" fillId="47" borderId="79" xfId="0" applyFont="1" applyFill="1" applyBorder="1" applyAlignment="1">
      <alignment/>
    </xf>
    <xf numFmtId="0" fontId="24" fillId="48" borderId="79" xfId="0" applyFont="1" applyFill="1" applyBorder="1" applyAlignment="1">
      <alignment/>
    </xf>
    <xf numFmtId="0" fontId="24" fillId="0" borderId="80" xfId="0" applyFont="1" applyBorder="1" applyAlignment="1">
      <alignment/>
    </xf>
    <xf numFmtId="0" fontId="24" fillId="0" borderId="81" xfId="0" applyFont="1" applyBorder="1" applyAlignment="1">
      <alignment/>
    </xf>
    <xf numFmtId="0" fontId="16" fillId="0" borderId="0" xfId="0" applyFont="1" applyAlignment="1">
      <alignment horizontal="center"/>
    </xf>
    <xf numFmtId="0" fontId="0" fillId="0" borderId="27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6" xfId="0" applyBorder="1" applyAlignment="1">
      <alignment/>
    </xf>
    <xf numFmtId="0" fontId="0" fillId="0" borderId="50" xfId="0" applyBorder="1" applyAlignment="1">
      <alignment horizontal="center"/>
    </xf>
    <xf numFmtId="0" fontId="0" fillId="0" borderId="63" xfId="0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5" xfId="0" applyFont="1" applyBorder="1" applyAlignment="1">
      <alignment horizontal="left"/>
    </xf>
    <xf numFmtId="0" fontId="0" fillId="0" borderId="85" xfId="0" applyBorder="1" applyAlignment="1">
      <alignment horizontal="center"/>
    </xf>
    <xf numFmtId="0" fontId="0" fillId="0" borderId="85" xfId="0" applyBorder="1" applyAlignment="1">
      <alignment/>
    </xf>
    <xf numFmtId="0" fontId="0" fillId="0" borderId="85" xfId="0" applyBorder="1" applyAlignment="1">
      <alignment/>
    </xf>
    <xf numFmtId="3" fontId="0" fillId="0" borderId="86" xfId="0" applyNumberFormat="1" applyBorder="1" applyAlignment="1">
      <alignment horizontal="right"/>
    </xf>
    <xf numFmtId="196" fontId="0" fillId="0" borderId="87" xfId="43" applyNumberFormat="1" applyFont="1" applyBorder="1" applyAlignment="1">
      <alignment horizontal="right" vertical="distributed"/>
    </xf>
    <xf numFmtId="196" fontId="0" fillId="0" borderId="85" xfId="43" applyNumberFormat="1" applyFont="1" applyBorder="1" applyAlignment="1">
      <alignment horizontal="right"/>
    </xf>
    <xf numFmtId="172" fontId="0" fillId="0" borderId="85" xfId="43" applyNumberFormat="1" applyFont="1" applyBorder="1" applyAlignment="1" quotePrefix="1">
      <alignment horizontal="center"/>
    </xf>
    <xf numFmtId="196" fontId="0" fillId="0" borderId="85" xfId="43" applyNumberFormat="1" applyFont="1" applyBorder="1" applyAlignment="1" quotePrefix="1">
      <alignment horizontal="right"/>
    </xf>
    <xf numFmtId="4" fontId="0" fillId="0" borderId="87" xfId="43" applyNumberFormat="1" applyFont="1" applyBorder="1" applyAlignment="1" quotePrefix="1">
      <alignment horizontal="center"/>
    </xf>
    <xf numFmtId="0" fontId="0" fillId="0" borderId="85" xfId="0" applyBorder="1" applyAlignment="1">
      <alignment horizontal="left"/>
    </xf>
    <xf numFmtId="0" fontId="0" fillId="0" borderId="87" xfId="0" applyBorder="1" applyAlignment="1">
      <alignment horizontal="center"/>
    </xf>
    <xf numFmtId="0" fontId="0" fillId="0" borderId="87" xfId="0" applyBorder="1" applyAlignment="1">
      <alignment/>
    </xf>
    <xf numFmtId="0" fontId="0" fillId="0" borderId="87" xfId="0" applyBorder="1" applyAlignment="1">
      <alignment/>
    </xf>
    <xf numFmtId="3" fontId="0" fillId="0" borderId="88" xfId="0" applyNumberFormat="1" applyBorder="1" applyAlignment="1">
      <alignment horizontal="right"/>
    </xf>
    <xf numFmtId="3" fontId="0" fillId="0" borderId="87" xfId="42" applyNumberFormat="1" applyFont="1" applyBorder="1" applyAlignment="1">
      <alignment horizontal="right"/>
    </xf>
    <xf numFmtId="196" fontId="0" fillId="0" borderId="87" xfId="43" applyNumberFormat="1" applyFont="1" applyBorder="1" applyAlignment="1">
      <alignment horizontal="right"/>
    </xf>
    <xf numFmtId="196" fontId="0" fillId="0" borderId="89" xfId="43" applyNumberFormat="1" applyFont="1" applyBorder="1" applyAlignment="1" quotePrefix="1">
      <alignment horizontal="center"/>
    </xf>
    <xf numFmtId="196" fontId="0" fillId="0" borderId="87" xfId="43" applyNumberFormat="1" applyFont="1" applyBorder="1" applyAlignment="1" quotePrefix="1">
      <alignment horizontal="right"/>
    </xf>
    <xf numFmtId="0" fontId="0" fillId="0" borderId="87" xfId="0" applyBorder="1" applyAlignment="1">
      <alignment horizontal="left"/>
    </xf>
    <xf numFmtId="195" fontId="0" fillId="0" borderId="87" xfId="43" applyNumberFormat="1" applyFont="1" applyBorder="1" applyAlignment="1">
      <alignment horizontal="right"/>
    </xf>
    <xf numFmtId="196" fontId="0" fillId="0" borderId="87" xfId="0" applyNumberFormat="1" applyBorder="1" applyAlignment="1">
      <alignment horizontal="left"/>
    </xf>
    <xf numFmtId="198" fontId="0" fillId="0" borderId="87" xfId="43" applyNumberFormat="1" applyFont="1" applyBorder="1" applyAlignment="1">
      <alignment horizontal="right"/>
    </xf>
    <xf numFmtId="172" fontId="0" fillId="0" borderId="87" xfId="43" applyNumberFormat="1" applyFont="1" applyBorder="1" applyAlignment="1">
      <alignment horizontal="right"/>
    </xf>
    <xf numFmtId="172" fontId="0" fillId="0" borderId="87" xfId="43" applyNumberFormat="1" applyFont="1" applyBorder="1" applyAlignment="1" quotePrefix="1">
      <alignment horizontal="right"/>
    </xf>
    <xf numFmtId="172" fontId="0" fillId="0" borderId="87" xfId="43" applyNumberFormat="1" applyFont="1" applyBorder="1" applyAlignment="1">
      <alignment horizontal="right" vertical="distributed"/>
    </xf>
    <xf numFmtId="195" fontId="0" fillId="0" borderId="87" xfId="43" applyNumberFormat="1" applyFont="1" applyBorder="1" applyAlignment="1">
      <alignment horizontal="right"/>
    </xf>
    <xf numFmtId="196" fontId="0" fillId="0" borderId="90" xfId="43" applyNumberFormat="1" applyFont="1" applyBorder="1" applyAlignment="1">
      <alignment horizontal="right"/>
    </xf>
    <xf numFmtId="0" fontId="0" fillId="0" borderId="90" xfId="0" applyBorder="1" applyAlignment="1">
      <alignment horizontal="center"/>
    </xf>
    <xf numFmtId="0" fontId="0" fillId="0" borderId="90" xfId="0" applyBorder="1" applyAlignment="1">
      <alignment/>
    </xf>
    <xf numFmtId="3" fontId="0" fillId="0" borderId="91" xfId="0" applyNumberFormat="1" applyBorder="1" applyAlignment="1">
      <alignment horizontal="right"/>
    </xf>
    <xf numFmtId="196" fontId="0" fillId="0" borderId="90" xfId="43" applyNumberFormat="1" applyFont="1" applyBorder="1" applyAlignment="1">
      <alignment horizontal="right"/>
    </xf>
    <xf numFmtId="195" fontId="0" fillId="0" borderId="90" xfId="43" applyNumberFormat="1" applyFont="1" applyBorder="1" applyAlignment="1">
      <alignment horizontal="right"/>
    </xf>
    <xf numFmtId="196" fontId="0" fillId="0" borderId="90" xfId="43" applyNumberFormat="1" applyFont="1" applyBorder="1" applyAlignment="1" quotePrefix="1">
      <alignment horizontal="right"/>
    </xf>
    <xf numFmtId="4" fontId="0" fillId="0" borderId="90" xfId="43" applyNumberFormat="1" applyFont="1" applyBorder="1" applyAlignment="1" quotePrefix="1">
      <alignment horizontal="center"/>
    </xf>
    <xf numFmtId="0" fontId="0" fillId="0" borderId="90" xfId="0" applyBorder="1" applyAlignment="1">
      <alignment horizontal="left"/>
    </xf>
    <xf numFmtId="195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32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174" fontId="2" fillId="0" borderId="92" xfId="42" applyNumberFormat="1" applyFont="1" applyBorder="1" applyAlignment="1">
      <alignment/>
    </xf>
    <xf numFmtId="174" fontId="2" fillId="0" borderId="66" xfId="42" applyNumberFormat="1" applyFont="1" applyBorder="1" applyAlignment="1">
      <alignment/>
    </xf>
    <xf numFmtId="174" fontId="2" fillId="0" borderId="93" xfId="42" applyNumberFormat="1" applyFont="1" applyBorder="1" applyAlignment="1">
      <alignment/>
    </xf>
    <xf numFmtId="170" fontId="2" fillId="0" borderId="93" xfId="42" applyNumberFormat="1" applyFont="1" applyBorder="1" applyAlignment="1">
      <alignment/>
    </xf>
    <xf numFmtId="196" fontId="1" fillId="0" borderId="13" xfId="43" applyNumberFormat="1" applyFont="1" applyBorder="1" applyAlignment="1">
      <alignment horizontal="right" vertical="distributed"/>
    </xf>
    <xf numFmtId="196" fontId="1" fillId="0" borderId="13" xfId="43" applyNumberFormat="1" applyFont="1" applyBorder="1" applyAlignment="1">
      <alignment horizontal="right"/>
    </xf>
    <xf numFmtId="196" fontId="1" fillId="0" borderId="13" xfId="43" applyNumberFormat="1" applyFont="1" applyBorder="1" applyAlignment="1" quotePrefix="1">
      <alignment horizontal="right"/>
    </xf>
    <xf numFmtId="195" fontId="1" fillId="0" borderId="13" xfId="43" applyNumberFormat="1" applyFont="1" applyBorder="1" applyAlignment="1">
      <alignment horizontal="right"/>
    </xf>
    <xf numFmtId="198" fontId="1" fillId="0" borderId="13" xfId="43" applyNumberFormat="1" applyFont="1" applyBorder="1" applyAlignment="1">
      <alignment horizontal="right"/>
    </xf>
    <xf numFmtId="172" fontId="1" fillId="0" borderId="13" xfId="43" applyNumberFormat="1" applyFont="1" applyBorder="1" applyAlignment="1">
      <alignment horizontal="right"/>
    </xf>
    <xf numFmtId="172" fontId="1" fillId="0" borderId="13" xfId="43" applyNumberFormat="1" applyFont="1" applyBorder="1" applyAlignment="1">
      <alignment horizontal="right" vertical="distributed"/>
    </xf>
    <xf numFmtId="170" fontId="1" fillId="0" borderId="13" xfId="42" applyNumberFormat="1" applyFont="1" applyBorder="1" applyAlignment="1" quotePrefix="1">
      <alignment horizontal="right"/>
    </xf>
    <xf numFmtId="170" fontId="2" fillId="0" borderId="92" xfId="42" applyNumberFormat="1" applyFont="1" applyBorder="1" applyAlignment="1">
      <alignment/>
    </xf>
    <xf numFmtId="170" fontId="2" fillId="0" borderId="66" xfId="42" applyNumberFormat="1" applyFont="1" applyBorder="1" applyAlignment="1">
      <alignment/>
    </xf>
    <xf numFmtId="174" fontId="2" fillId="0" borderId="38" xfId="42" applyNumberFormat="1" applyFont="1" applyBorder="1" applyAlignment="1">
      <alignment/>
    </xf>
    <xf numFmtId="174" fontId="2" fillId="0" borderId="17" xfId="42" applyNumberFormat="1" applyFont="1" applyBorder="1" applyAlignment="1">
      <alignment/>
    </xf>
    <xf numFmtId="170" fontId="2" fillId="0" borderId="13" xfId="42" applyNumberFormat="1" applyFont="1" applyBorder="1" applyAlignment="1">
      <alignment/>
    </xf>
    <xf numFmtId="174" fontId="2" fillId="0" borderId="33" xfId="42" applyNumberFormat="1" applyFont="1" applyBorder="1" applyAlignment="1">
      <alignment horizontal="center"/>
    </xf>
    <xf numFmtId="174" fontId="2" fillId="0" borderId="18" xfId="42" applyNumberFormat="1" applyFont="1" applyBorder="1" applyAlignment="1">
      <alignment/>
    </xf>
    <xf numFmtId="194" fontId="2" fillId="0" borderId="92" xfId="43" applyNumberFormat="1" applyFont="1" applyBorder="1" applyAlignment="1">
      <alignment/>
    </xf>
    <xf numFmtId="174" fontId="16" fillId="0" borderId="94" xfId="42" applyNumberFormat="1" applyFont="1" applyBorder="1" applyAlignment="1">
      <alignment/>
    </xf>
    <xf numFmtId="43" fontId="1" fillId="0" borderId="95" xfId="42" applyFont="1" applyBorder="1" applyAlignment="1">
      <alignment/>
    </xf>
    <xf numFmtId="174" fontId="2" fillId="0" borderId="39" xfId="42" applyNumberFormat="1" applyFont="1" applyBorder="1" applyAlignment="1">
      <alignment/>
    </xf>
    <xf numFmtId="170" fontId="1" fillId="0" borderId="96" xfId="42" applyNumberFormat="1" applyFont="1" applyBorder="1" applyAlignment="1">
      <alignment/>
    </xf>
    <xf numFmtId="0" fontId="2" fillId="42" borderId="97" xfId="0" applyFont="1" applyFill="1" applyBorder="1" applyAlignment="1">
      <alignment horizontal="center"/>
    </xf>
    <xf numFmtId="0" fontId="2" fillId="42" borderId="82" xfId="0" applyFont="1" applyFill="1" applyBorder="1" applyAlignment="1">
      <alignment horizontal="center"/>
    </xf>
    <xf numFmtId="0" fontId="2" fillId="42" borderId="26" xfId="0" applyFont="1" applyFill="1" applyBorder="1" applyAlignment="1">
      <alignment horizontal="center"/>
    </xf>
    <xf numFmtId="0" fontId="2" fillId="42" borderId="27" xfId="0" applyFont="1" applyFill="1" applyBorder="1" applyAlignment="1">
      <alignment horizontal="center"/>
    </xf>
    <xf numFmtId="0" fontId="2" fillId="42" borderId="98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7" xfId="0" applyFont="1" applyBorder="1" applyAlignment="1">
      <alignment/>
    </xf>
    <xf numFmtId="196" fontId="1" fillId="0" borderId="16" xfId="43" applyNumberFormat="1" applyFont="1" applyBorder="1" applyAlignment="1">
      <alignment horizontal="right" vertical="distributed"/>
    </xf>
    <xf numFmtId="196" fontId="1" fillId="0" borderId="16" xfId="43" applyNumberFormat="1" applyFont="1" applyBorder="1" applyAlignment="1">
      <alignment horizontal="right"/>
    </xf>
    <xf numFmtId="196" fontId="1" fillId="0" borderId="16" xfId="43" applyNumberFormat="1" applyFont="1" applyBorder="1" applyAlignment="1" quotePrefix="1">
      <alignment horizontal="right"/>
    </xf>
    <xf numFmtId="4" fontId="2" fillId="0" borderId="99" xfId="43" applyNumberFormat="1" applyFont="1" applyBorder="1" applyAlignment="1" quotePrefix="1">
      <alignment horizontal="right"/>
    </xf>
    <xf numFmtId="0" fontId="2" fillId="0" borderId="63" xfId="0" applyFont="1" applyBorder="1" applyAlignment="1">
      <alignment horizontal="center"/>
    </xf>
    <xf numFmtId="0" fontId="1" fillId="0" borderId="100" xfId="0" applyFont="1" applyBorder="1" applyAlignment="1">
      <alignment horizontal="center"/>
    </xf>
    <xf numFmtId="0" fontId="1" fillId="0" borderId="101" xfId="0" applyFont="1" applyBorder="1" applyAlignment="1">
      <alignment horizontal="center"/>
    </xf>
    <xf numFmtId="201" fontId="1" fillId="0" borderId="13" xfId="43" applyNumberFormat="1" applyFont="1" applyBorder="1" applyAlignment="1">
      <alignment horizontal="right"/>
    </xf>
    <xf numFmtId="170" fontId="2" fillId="0" borderId="42" xfId="42" applyNumberFormat="1" applyFont="1" applyBorder="1" applyAlignment="1">
      <alignment/>
    </xf>
    <xf numFmtId="0" fontId="1" fillId="49" borderId="13" xfId="0" applyFont="1" applyFill="1" applyBorder="1" applyAlignment="1">
      <alignment/>
    </xf>
    <xf numFmtId="0" fontId="1" fillId="50" borderId="13" xfId="0" applyFont="1" applyFill="1" applyBorder="1" applyAlignment="1">
      <alignment/>
    </xf>
    <xf numFmtId="0" fontId="2" fillId="37" borderId="84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2" fillId="38" borderId="40" xfId="0" applyFont="1" applyFill="1" applyBorder="1" applyAlignment="1">
      <alignment horizontal="center"/>
    </xf>
    <xf numFmtId="0" fontId="2" fillId="38" borderId="28" xfId="0" applyFont="1" applyFill="1" applyBorder="1" applyAlignment="1">
      <alignment horizontal="center"/>
    </xf>
    <xf numFmtId="0" fontId="2" fillId="38" borderId="56" xfId="0" applyFont="1" applyFill="1" applyBorder="1" applyAlignment="1">
      <alignment horizontal="center"/>
    </xf>
    <xf numFmtId="0" fontId="2" fillId="0" borderId="102" xfId="0" applyFont="1" applyBorder="1" applyAlignment="1">
      <alignment horizontal="center"/>
    </xf>
    <xf numFmtId="0" fontId="2" fillId="0" borderId="103" xfId="0" applyFont="1" applyBorder="1" applyAlignment="1">
      <alignment horizontal="center"/>
    </xf>
    <xf numFmtId="0" fontId="1" fillId="0" borderId="103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5" fillId="0" borderId="104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/>
    </xf>
    <xf numFmtId="0" fontId="16" fillId="0" borderId="100" xfId="0" applyFont="1" applyBorder="1" applyAlignment="1">
      <alignment horizontal="center" vertical="center"/>
    </xf>
    <xf numFmtId="170" fontId="1" fillId="0" borderId="13" xfId="42" applyNumberFormat="1" applyFont="1" applyBorder="1" applyAlignment="1">
      <alignment horizontal="center" vertical="center"/>
    </xf>
    <xf numFmtId="174" fontId="2" fillId="0" borderId="15" xfId="42" applyNumberFormat="1" applyFont="1" applyBorder="1" applyAlignment="1">
      <alignment horizontal="left"/>
    </xf>
    <xf numFmtId="170" fontId="2" fillId="0" borderId="42" xfId="42" applyNumberFormat="1" applyFont="1" applyBorder="1" applyAlignment="1">
      <alignment horizontal="left"/>
    </xf>
    <xf numFmtId="174" fontId="2" fillId="0" borderId="66" xfId="42" applyNumberFormat="1" applyFont="1" applyBorder="1" applyAlignment="1">
      <alignment horizontal="left"/>
    </xf>
    <xf numFmtId="41" fontId="2" fillId="0" borderId="66" xfId="43" applyNumberFormat="1" applyFont="1" applyBorder="1" applyAlignment="1">
      <alignment horizontal="left"/>
    </xf>
    <xf numFmtId="174" fontId="2" fillId="0" borderId="93" xfId="42" applyNumberFormat="1" applyFont="1" applyBorder="1" applyAlignment="1">
      <alignment horizontal="left"/>
    </xf>
    <xf numFmtId="170" fontId="2" fillId="0" borderId="93" xfId="42" applyNumberFormat="1" applyFont="1" applyBorder="1" applyAlignment="1">
      <alignment horizontal="left"/>
    </xf>
    <xf numFmtId="174" fontId="2" fillId="0" borderId="92" xfId="42" applyNumberFormat="1" applyFont="1" applyBorder="1" applyAlignment="1">
      <alignment horizontal="left"/>
    </xf>
    <xf numFmtId="170" fontId="2" fillId="0" borderId="92" xfId="42" applyNumberFormat="1" applyFont="1" applyBorder="1" applyAlignment="1">
      <alignment horizontal="left"/>
    </xf>
    <xf numFmtId="170" fontId="2" fillId="0" borderId="66" xfId="42" applyNumberFormat="1" applyFont="1" applyBorder="1" applyAlignment="1">
      <alignment horizontal="left"/>
    </xf>
    <xf numFmtId="194" fontId="2" fillId="0" borderId="92" xfId="43" applyNumberFormat="1" applyFont="1" applyBorder="1" applyAlignment="1">
      <alignment horizontal="left"/>
    </xf>
    <xf numFmtId="174" fontId="2" fillId="0" borderId="105" xfId="42" applyNumberFormat="1" applyFont="1" applyBorder="1" applyAlignment="1">
      <alignment horizontal="left"/>
    </xf>
    <xf numFmtId="174" fontId="16" fillId="0" borderId="94" xfId="42" applyNumberFormat="1" applyFont="1" applyBorder="1" applyAlignment="1">
      <alignment horizontal="left"/>
    </xf>
    <xf numFmtId="174" fontId="2" fillId="0" borderId="17" xfId="42" applyNumberFormat="1" applyFont="1" applyBorder="1" applyAlignment="1">
      <alignment horizontal="left"/>
    </xf>
    <xf numFmtId="174" fontId="2" fillId="0" borderId="13" xfId="42" applyNumberFormat="1" applyFont="1" applyBorder="1" applyAlignment="1">
      <alignment horizontal="left"/>
    </xf>
    <xf numFmtId="170" fontId="2" fillId="0" borderId="13" xfId="42" applyNumberFormat="1" applyFont="1" applyBorder="1" applyAlignment="1">
      <alignment horizontal="left"/>
    </xf>
    <xf numFmtId="174" fontId="2" fillId="0" borderId="38" xfId="42" applyNumberFormat="1" applyFont="1" applyBorder="1" applyAlignment="1">
      <alignment horizontal="left"/>
    </xf>
    <xf numFmtId="174" fontId="2" fillId="0" borderId="18" xfId="42" applyNumberFormat="1" applyFont="1" applyBorder="1" applyAlignment="1">
      <alignment horizontal="left"/>
    </xf>
    <xf numFmtId="174" fontId="2" fillId="0" borderId="16" xfId="42" applyNumberFormat="1" applyFont="1" applyBorder="1" applyAlignment="1">
      <alignment horizontal="left"/>
    </xf>
    <xf numFmtId="170" fontId="24" fillId="0" borderId="13" xfId="42" applyNumberFormat="1" applyFont="1" applyBorder="1" applyAlignment="1">
      <alignment horizontal="left"/>
    </xf>
    <xf numFmtId="170" fontId="24" fillId="33" borderId="13" xfId="42" applyNumberFormat="1" applyFont="1" applyFill="1" applyBorder="1" applyAlignment="1">
      <alignment horizontal="left"/>
    </xf>
    <xf numFmtId="170" fontId="24" fillId="33" borderId="17" xfId="42" applyNumberFormat="1" applyFont="1" applyFill="1" applyBorder="1" applyAlignment="1">
      <alignment horizontal="left"/>
    </xf>
    <xf numFmtId="170" fontId="24" fillId="33" borderId="33" xfId="42" applyNumberFormat="1" applyFont="1" applyFill="1" applyBorder="1" applyAlignment="1">
      <alignment horizontal="left"/>
    </xf>
    <xf numFmtId="0" fontId="2" fillId="0" borderId="11" xfId="0" applyFont="1" applyBorder="1" applyAlignment="1">
      <alignment/>
    </xf>
    <xf numFmtId="0" fontId="25" fillId="0" borderId="106" xfId="0" applyFont="1" applyBorder="1" applyAlignment="1">
      <alignment/>
    </xf>
    <xf numFmtId="170" fontId="2" fillId="0" borderId="13" xfId="42" applyNumberFormat="1" applyFont="1" applyBorder="1" applyAlignment="1">
      <alignment horizontal="center"/>
    </xf>
    <xf numFmtId="170" fontId="2" fillId="0" borderId="16" xfId="42" applyNumberFormat="1" applyFont="1" applyBorder="1" applyAlignment="1">
      <alignment horizontal="center"/>
    </xf>
    <xf numFmtId="2" fontId="2" fillId="0" borderId="27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170" fontId="1" fillId="0" borderId="107" xfId="42" applyNumberFormat="1" applyFont="1" applyBorder="1" applyAlignment="1">
      <alignment/>
    </xf>
    <xf numFmtId="43" fontId="3" fillId="0" borderId="63" xfId="42" applyFont="1" applyBorder="1" applyAlignment="1">
      <alignment horizontal="center"/>
    </xf>
    <xf numFmtId="170" fontId="1" fillId="0" borderId="108" xfId="42" applyNumberFormat="1" applyFont="1" applyBorder="1" applyAlignment="1">
      <alignment/>
    </xf>
    <xf numFmtId="4" fontId="2" fillId="0" borderId="28" xfId="43" applyNumberFormat="1" applyFont="1" applyBorder="1" applyAlignment="1" quotePrefix="1">
      <alignment horizontal="right"/>
    </xf>
    <xf numFmtId="4" fontId="2" fillId="0" borderId="63" xfId="43" applyNumberFormat="1" applyFont="1" applyBorder="1" applyAlignment="1" quotePrefix="1">
      <alignment horizontal="right"/>
    </xf>
    <xf numFmtId="43" fontId="7" fillId="0" borderId="71" xfId="42" applyFont="1" applyBorder="1" applyAlignment="1">
      <alignment horizontal="center" vertical="center"/>
    </xf>
    <xf numFmtId="43" fontId="7" fillId="0" borderId="54" xfId="42" applyFont="1" applyBorder="1" applyAlignment="1">
      <alignment horizontal="center" vertical="center"/>
    </xf>
    <xf numFmtId="170" fontId="1" fillId="0" borderId="109" xfId="42" applyNumberFormat="1" applyFont="1" applyBorder="1" applyAlignment="1">
      <alignment/>
    </xf>
    <xf numFmtId="43" fontId="7" fillId="0" borderId="63" xfId="42" applyFont="1" applyBorder="1" applyAlignment="1">
      <alignment horizontal="center" vertical="center"/>
    </xf>
    <xf numFmtId="43" fontId="7" fillId="0" borderId="63" xfId="42" applyFont="1" applyBorder="1" applyAlignment="1">
      <alignment horizontal="center"/>
    </xf>
    <xf numFmtId="196" fontId="1" fillId="0" borderId="55" xfId="43" applyNumberFormat="1" applyFont="1" applyBorder="1" applyAlignment="1">
      <alignment horizontal="right"/>
    </xf>
    <xf numFmtId="0" fontId="1" fillId="0" borderId="1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0" fontId="2" fillId="0" borderId="96" xfId="42" applyNumberFormat="1" applyFont="1" applyBorder="1" applyAlignment="1">
      <alignment horizontal="center" vertical="center"/>
    </xf>
    <xf numFmtId="174" fontId="2" fillId="0" borderId="96" xfId="42" applyNumberFormat="1" applyFont="1" applyBorder="1" applyAlignment="1">
      <alignment horizontal="center" vertical="center"/>
    </xf>
    <xf numFmtId="170" fontId="2" fillId="0" borderId="111" xfId="42" applyNumberFormat="1" applyFont="1" applyBorder="1" applyAlignment="1">
      <alignment horizontal="center" vertical="center"/>
    </xf>
    <xf numFmtId="170" fontId="24" fillId="33" borderId="109" xfId="42" applyNumberFormat="1" applyFont="1" applyFill="1" applyBorder="1" applyAlignment="1">
      <alignment/>
    </xf>
    <xf numFmtId="43" fontId="24" fillId="0" borderId="63" xfId="42" applyNumberFormat="1" applyFont="1" applyBorder="1" applyAlignment="1">
      <alignment horizontal="center"/>
    </xf>
    <xf numFmtId="172" fontId="1" fillId="0" borderId="112" xfId="43" applyNumberFormat="1" applyFont="1" applyBorder="1" applyAlignment="1" quotePrefix="1">
      <alignment horizontal="center"/>
    </xf>
    <xf numFmtId="203" fontId="1" fillId="0" borderId="113" xfId="42" applyNumberFormat="1" applyFont="1" applyFill="1" applyBorder="1" applyAlignment="1" applyProtection="1">
      <alignment horizontal="center"/>
      <protection/>
    </xf>
    <xf numFmtId="202" fontId="2" fillId="0" borderId="114" xfId="42" applyNumberFormat="1" applyFont="1" applyFill="1" applyBorder="1" applyAlignment="1" applyProtection="1">
      <alignment horizontal="center"/>
      <protection/>
    </xf>
    <xf numFmtId="203" fontId="1" fillId="0" borderId="77" xfId="42" applyNumberFormat="1" applyFont="1" applyFill="1" applyBorder="1" applyAlignment="1" applyProtection="1">
      <alignment horizontal="center"/>
      <protection/>
    </xf>
    <xf numFmtId="203" fontId="1" fillId="0" borderId="115" xfId="42" applyNumberFormat="1" applyFont="1" applyFill="1" applyBorder="1" applyAlignment="1" applyProtection="1">
      <alignment horizontal="center"/>
      <protection/>
    </xf>
    <xf numFmtId="203" fontId="1" fillId="0" borderId="77" xfId="42" applyNumberFormat="1" applyFont="1" applyFill="1" applyBorder="1" applyAlignment="1" applyProtection="1">
      <alignment/>
      <protection/>
    </xf>
    <xf numFmtId="202" fontId="4" fillId="0" borderId="114" xfId="42" applyNumberFormat="1" applyFont="1" applyFill="1" applyBorder="1" applyAlignment="1" applyProtection="1">
      <alignment horizontal="center"/>
      <protection/>
    </xf>
    <xf numFmtId="203" fontId="1" fillId="0" borderId="77" xfId="42" applyNumberFormat="1" applyFont="1" applyFill="1" applyBorder="1" applyAlignment="1" applyProtection="1">
      <alignment vertical="center"/>
      <protection/>
    </xf>
    <xf numFmtId="203" fontId="1" fillId="47" borderId="77" xfId="42" applyNumberFormat="1" applyFont="1" applyFill="1" applyBorder="1" applyAlignment="1" applyProtection="1">
      <alignment horizontal="center"/>
      <protection/>
    </xf>
    <xf numFmtId="0" fontId="99" fillId="0" borderId="116" xfId="0" applyFont="1" applyBorder="1" applyAlignment="1">
      <alignment/>
    </xf>
    <xf numFmtId="194" fontId="2" fillId="0" borderId="66" xfId="43" applyNumberFormat="1" applyFont="1" applyBorder="1" applyAlignment="1">
      <alignment/>
    </xf>
    <xf numFmtId="0" fontId="2" fillId="38" borderId="73" xfId="0" applyFont="1" applyFill="1" applyBorder="1" applyAlignment="1">
      <alignment horizontal="center"/>
    </xf>
    <xf numFmtId="0" fontId="2" fillId="37" borderId="27" xfId="0" applyFont="1" applyFill="1" applyBorder="1" applyAlignment="1">
      <alignment horizontal="center"/>
    </xf>
    <xf numFmtId="0" fontId="2" fillId="38" borderId="27" xfId="0" applyFont="1" applyFill="1" applyBorder="1" applyAlignment="1">
      <alignment horizontal="center"/>
    </xf>
    <xf numFmtId="0" fontId="2" fillId="38" borderId="117" xfId="0" applyFont="1" applyFill="1" applyBorder="1" applyAlignment="1">
      <alignment horizontal="center"/>
    </xf>
    <xf numFmtId="0" fontId="2" fillId="40" borderId="117" xfId="0" applyFont="1" applyFill="1" applyBorder="1" applyAlignment="1">
      <alignment horizontal="center"/>
    </xf>
    <xf numFmtId="0" fontId="2" fillId="41" borderId="118" xfId="0" applyFont="1" applyFill="1" applyBorder="1" applyAlignment="1">
      <alignment horizontal="center"/>
    </xf>
    <xf numFmtId="43" fontId="1" fillId="0" borderId="119" xfId="42" applyFont="1" applyBorder="1" applyAlignment="1">
      <alignment horizontal="center"/>
    </xf>
    <xf numFmtId="202" fontId="3" fillId="0" borderId="120" xfId="42" applyNumberFormat="1" applyFont="1" applyFill="1" applyBorder="1" applyAlignment="1" applyProtection="1">
      <alignment horizontal="center"/>
      <protection/>
    </xf>
    <xf numFmtId="0" fontId="1" fillId="0" borderId="121" xfId="0" applyFont="1" applyBorder="1" applyAlignment="1">
      <alignment horizontal="center"/>
    </xf>
    <xf numFmtId="0" fontId="2" fillId="0" borderId="122" xfId="0" applyFont="1" applyBorder="1" applyAlignment="1">
      <alignment horizontal="center"/>
    </xf>
    <xf numFmtId="43" fontId="3" fillId="0" borderId="26" xfId="42" applyFont="1" applyBorder="1" applyAlignment="1">
      <alignment horizontal="center"/>
    </xf>
    <xf numFmtId="43" fontId="3" fillId="0" borderId="123" xfId="42" applyFont="1" applyBorder="1" applyAlignment="1">
      <alignment horizontal="center"/>
    </xf>
    <xf numFmtId="0" fontId="1" fillId="0" borderId="124" xfId="0" applyFont="1" applyBorder="1" applyAlignment="1">
      <alignment horizontal="center"/>
    </xf>
    <xf numFmtId="43" fontId="3" fillId="0" borderId="69" xfId="42" applyFont="1" applyBorder="1" applyAlignment="1">
      <alignment horizontal="center"/>
    </xf>
    <xf numFmtId="43" fontId="3" fillId="0" borderId="125" xfId="42" applyFont="1" applyBorder="1" applyAlignment="1">
      <alignment horizontal="center"/>
    </xf>
    <xf numFmtId="43" fontId="2" fillId="0" borderId="25" xfId="42" applyFont="1" applyBorder="1" applyAlignment="1">
      <alignment/>
    </xf>
    <xf numFmtId="170" fontId="2" fillId="0" borderId="25" xfId="42" applyNumberFormat="1" applyFont="1" applyBorder="1" applyAlignment="1">
      <alignment/>
    </xf>
    <xf numFmtId="170" fontId="2" fillId="0" borderId="84" xfId="42" applyNumberFormat="1" applyFont="1" applyBorder="1" applyAlignment="1">
      <alignment/>
    </xf>
    <xf numFmtId="0" fontId="2" fillId="0" borderId="73" xfId="0" applyFont="1" applyBorder="1" applyAlignment="1">
      <alignment horizontal="center"/>
    </xf>
    <xf numFmtId="0" fontId="2" fillId="0" borderId="117" xfId="0" applyFont="1" applyBorder="1" applyAlignment="1">
      <alignment horizontal="center"/>
    </xf>
    <xf numFmtId="0" fontId="0" fillId="0" borderId="97" xfId="0" applyBorder="1" applyAlignment="1">
      <alignment/>
    </xf>
    <xf numFmtId="0" fontId="2" fillId="0" borderId="126" xfId="0" applyFont="1" applyBorder="1" applyAlignment="1">
      <alignment horizontal="center"/>
    </xf>
    <xf numFmtId="2" fontId="2" fillId="0" borderId="46" xfId="0" applyNumberFormat="1" applyFont="1" applyBorder="1" applyAlignment="1">
      <alignment/>
    </xf>
    <xf numFmtId="201" fontId="1" fillId="0" borderId="13" xfId="43" applyNumberFormat="1" applyFont="1" applyBorder="1" applyAlignment="1">
      <alignment horizontal="left"/>
    </xf>
    <xf numFmtId="43" fontId="2" fillId="0" borderId="63" xfId="0" applyNumberFormat="1" applyFont="1" applyBorder="1" applyAlignment="1">
      <alignment/>
    </xf>
    <xf numFmtId="0" fontId="2" fillId="0" borderId="63" xfId="0" applyFont="1" applyBorder="1" applyAlignment="1">
      <alignment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8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2" fillId="0" borderId="73" xfId="0" applyFont="1" applyBorder="1" applyAlignment="1">
      <alignment horizontal="center"/>
    </xf>
    <xf numFmtId="0" fontId="2" fillId="0" borderId="117" xfId="0" applyFont="1" applyBorder="1" applyAlignment="1">
      <alignment horizontal="center"/>
    </xf>
    <xf numFmtId="0" fontId="2" fillId="0" borderId="83" xfId="0" applyFont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/>
    </xf>
    <xf numFmtId="0" fontId="2" fillId="0" borderId="101" xfId="0" applyFont="1" applyBorder="1" applyAlignment="1">
      <alignment horizontal="center"/>
    </xf>
    <xf numFmtId="0" fontId="2" fillId="0" borderId="8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3" fontId="1" fillId="0" borderId="0" xfId="42" applyNumberFormat="1" applyFont="1" applyBorder="1" applyAlignment="1">
      <alignment horizontal="center"/>
    </xf>
    <xf numFmtId="0" fontId="19" fillId="34" borderId="43" xfId="0" applyFont="1" applyFill="1" applyBorder="1" applyAlignment="1">
      <alignment horizontal="center" vertical="center"/>
    </xf>
    <xf numFmtId="0" fontId="18" fillId="34" borderId="44" xfId="0" applyFont="1" applyFill="1" applyBorder="1" applyAlignment="1">
      <alignment horizontal="center" vertical="center"/>
    </xf>
    <xf numFmtId="0" fontId="18" fillId="34" borderId="128" xfId="0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2" fillId="41" borderId="129" xfId="0" applyFont="1" applyFill="1" applyBorder="1" applyAlignment="1">
      <alignment horizontal="center" vertical="center"/>
    </xf>
    <xf numFmtId="0" fontId="2" fillId="41" borderId="30" xfId="0" applyFont="1" applyFill="1" applyBorder="1" applyAlignment="1">
      <alignment horizontal="center" vertical="center"/>
    </xf>
    <xf numFmtId="0" fontId="2" fillId="51" borderId="40" xfId="0" applyFont="1" applyFill="1" applyBorder="1" applyAlignment="1">
      <alignment horizontal="center" vertical="center"/>
    </xf>
    <xf numFmtId="0" fontId="7" fillId="51" borderId="0" xfId="0" applyFont="1" applyFill="1" applyBorder="1" applyAlignment="1">
      <alignment horizontal="center" vertical="center"/>
    </xf>
    <xf numFmtId="0" fontId="2" fillId="41" borderId="40" xfId="0" applyFont="1" applyFill="1" applyBorder="1" applyAlignment="1">
      <alignment horizontal="center"/>
    </xf>
    <xf numFmtId="0" fontId="2" fillId="41" borderId="19" xfId="0" applyFont="1" applyFill="1" applyBorder="1" applyAlignment="1">
      <alignment horizontal="center"/>
    </xf>
    <xf numFmtId="0" fontId="25" fillId="0" borderId="130" xfId="0" applyFont="1" applyBorder="1" applyAlignment="1">
      <alignment horizontal="center" vertical="center"/>
    </xf>
    <xf numFmtId="0" fontId="25" fillId="0" borderId="104" xfId="0" applyFont="1" applyBorder="1" applyAlignment="1">
      <alignment horizontal="center" vertical="center"/>
    </xf>
    <xf numFmtId="0" fontId="27" fillId="0" borderId="131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" fillId="52" borderId="132" xfId="0" applyFont="1" applyFill="1" applyBorder="1" applyAlignment="1">
      <alignment horizontal="center" vertical="center"/>
    </xf>
    <xf numFmtId="0" fontId="1" fillId="52" borderId="133" xfId="0" applyFont="1" applyFill="1" applyBorder="1" applyAlignment="1">
      <alignment horizontal="center" vertical="center"/>
    </xf>
    <xf numFmtId="0" fontId="1" fillId="52" borderId="42" xfId="0" applyFont="1" applyFill="1" applyBorder="1" applyAlignment="1">
      <alignment horizontal="center" vertical="center"/>
    </xf>
    <xf numFmtId="0" fontId="1" fillId="52" borderId="28" xfId="0" applyFont="1" applyFill="1" applyBorder="1" applyAlignment="1">
      <alignment horizontal="center" vertical="center"/>
    </xf>
    <xf numFmtId="0" fontId="1" fillId="52" borderId="134" xfId="0" applyFont="1" applyFill="1" applyBorder="1" applyAlignment="1">
      <alignment horizontal="center" vertical="center"/>
    </xf>
    <xf numFmtId="0" fontId="1" fillId="52" borderId="127" xfId="0" applyFont="1" applyFill="1" applyBorder="1" applyAlignment="1">
      <alignment horizontal="center" vertical="center"/>
    </xf>
    <xf numFmtId="0" fontId="2" fillId="41" borderId="135" xfId="0" applyFont="1" applyFill="1" applyBorder="1" applyAlignment="1">
      <alignment horizontal="center" vertical="center"/>
    </xf>
    <xf numFmtId="0" fontId="0" fillId="0" borderId="136" xfId="0" applyBorder="1" applyAlignment="1">
      <alignment horizontal="center" vertical="center"/>
    </xf>
    <xf numFmtId="172" fontId="2" fillId="0" borderId="18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137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109" xfId="0" applyFont="1" applyBorder="1" applyAlignment="1">
      <alignment horizontal="center"/>
    </xf>
    <xf numFmtId="0" fontId="2" fillId="0" borderId="130" xfId="0" applyFont="1" applyBorder="1" applyAlignment="1">
      <alignment horizontal="center"/>
    </xf>
    <xf numFmtId="0" fontId="2" fillId="0" borderId="10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131" xfId="0" applyFont="1" applyBorder="1" applyAlignment="1">
      <alignment horizontal="center" vertical="center"/>
    </xf>
    <xf numFmtId="0" fontId="2" fillId="41" borderId="138" xfId="0" applyFont="1" applyFill="1" applyBorder="1" applyAlignment="1">
      <alignment horizontal="center" vertical="center"/>
    </xf>
    <xf numFmtId="0" fontId="2" fillId="41" borderId="124" xfId="0" applyFont="1" applyFill="1" applyBorder="1" applyAlignment="1">
      <alignment horizontal="center" vertical="center"/>
    </xf>
    <xf numFmtId="0" fontId="2" fillId="51" borderId="73" xfId="0" applyFont="1" applyFill="1" applyBorder="1" applyAlignment="1">
      <alignment horizontal="center" vertical="center"/>
    </xf>
    <xf numFmtId="0" fontId="2" fillId="41" borderId="73" xfId="0" applyFont="1" applyFill="1" applyBorder="1" applyAlignment="1">
      <alignment horizontal="center"/>
    </xf>
    <xf numFmtId="0" fontId="2" fillId="41" borderId="117" xfId="0" applyFont="1" applyFill="1" applyBorder="1" applyAlignment="1">
      <alignment horizontal="center"/>
    </xf>
    <xf numFmtId="0" fontId="2" fillId="41" borderId="139" xfId="0" applyFont="1" applyFill="1" applyBorder="1" applyAlignment="1">
      <alignment horizontal="center" vertical="center"/>
    </xf>
    <xf numFmtId="0" fontId="0" fillId="0" borderId="140" xfId="0" applyBorder="1" applyAlignment="1">
      <alignment horizontal="center" vertical="center"/>
    </xf>
    <xf numFmtId="0" fontId="2" fillId="52" borderId="141" xfId="0" applyFont="1" applyFill="1" applyBorder="1" applyAlignment="1">
      <alignment horizontal="center" vertical="center"/>
    </xf>
    <xf numFmtId="0" fontId="1" fillId="52" borderId="26" xfId="0" applyFont="1" applyFill="1" applyBorder="1" applyAlignment="1">
      <alignment horizontal="center" vertical="center"/>
    </xf>
    <xf numFmtId="174" fontId="17" fillId="0" borderId="94" xfId="42" applyNumberFormat="1" applyFont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4" fillId="0" borderId="109" xfId="0" applyFont="1" applyBorder="1" applyAlignment="1">
      <alignment horizontal="center" vertical="center"/>
    </xf>
    <xf numFmtId="0" fontId="4" fillId="0" borderId="130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16" fillId="0" borderId="83" xfId="0" applyFont="1" applyBorder="1" applyAlignment="1">
      <alignment horizontal="center" vertical="center"/>
    </xf>
    <xf numFmtId="0" fontId="16" fillId="0" borderId="100" xfId="0" applyFont="1" applyBorder="1" applyAlignment="1">
      <alignment horizontal="center" vertical="center"/>
    </xf>
    <xf numFmtId="0" fontId="16" fillId="0" borderId="131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30" fillId="0" borderId="131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2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83" xfId="0" applyBorder="1" applyAlignment="1">
      <alignment horizontal="center"/>
    </xf>
    <xf numFmtId="0" fontId="0" fillId="0" borderId="101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4" fillId="0" borderId="13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4" fontId="17" fillId="0" borderId="18" xfId="42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1745"/>
          <c:w val="0.803"/>
          <c:h val="0.70025"/>
        </c:manualLayout>
      </c:layout>
      <c:lineChart>
        <c:grouping val="standard"/>
        <c:varyColors val="0"/>
        <c:ser>
          <c:idx val="2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0000FF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'REKAP 5 TH'!$B$10:$B$15</c:f>
              <c:strCache/>
            </c:strRef>
          </c:cat>
          <c:val>
            <c:numRef>
              <c:f>'REKAP 5 TH'!$C$10:$C$15</c:f>
              <c:numCache/>
            </c:numRef>
          </c:val>
          <c:smooth val="0"/>
        </c:ser>
        <c:ser>
          <c:idx val="0"/>
          <c:order val="1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'REKAP 5 TH'!$B$10:$B$15</c:f>
              <c:strCache/>
            </c:strRef>
          </c:cat>
          <c:val>
            <c:numRef>
              <c:f>'REKAP 5 TH'!$J$10:$J$15</c:f>
              <c:numCache/>
            </c:numRef>
          </c:val>
          <c:smooth val="0"/>
        </c:ser>
        <c:marker val="1"/>
        <c:axId val="38661891"/>
        <c:axId val="12412700"/>
      </c:lineChart>
      <c:catAx>
        <c:axId val="38661891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1"/>
        <c:majorTickMark val="out"/>
        <c:minorTickMark val="none"/>
        <c:tickLblPos val="nextTo"/>
        <c:crossAx val="12412700"/>
        <c:crossesAt val="0.5"/>
        <c:auto val="1"/>
        <c:lblOffset val="100"/>
        <c:tickLblSkip val="1"/>
        <c:noMultiLvlLbl val="0"/>
      </c:catAx>
      <c:valAx>
        <c:axId val="12412700"/>
        <c:scaling>
          <c:orientation val="minMax"/>
          <c:max val="1.1"/>
          <c:min val="0.0300000000000000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Faktor K</a:t>
                </a:r>
              </a:p>
            </c:rich>
          </c:tx>
          <c:layout>
            <c:manualLayout>
              <c:xMode val="factor"/>
              <c:yMode val="factor"/>
              <c:x val="-0.027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61891"/>
        <c:crossesAt val="1"/>
        <c:crossBetween val="between"/>
        <c:dispUnits/>
        <c:majorUnit val="0.1"/>
        <c:minorUnit val="0.1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FF66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75"/>
          <c:y val="0.16"/>
          <c:w val="0.81725"/>
          <c:h val="0.72925"/>
        </c:manualLayout>
      </c:layout>
      <c:lineChart>
        <c:grouping val="standard"/>
        <c:varyColors val="0"/>
        <c:ser>
          <c:idx val="2"/>
          <c:order val="0"/>
          <c:tx>
            <c:v>FAKTOR K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0000FF"/>
              </a:solidFill>
              <a:ln>
                <a:solidFill>
                  <a:srgbClr val="FF6600"/>
                </a:solidFill>
              </a:ln>
            </c:spPr>
          </c:marker>
          <c:cat>
            <c:multiLvlStrRef>
              <c:f>'REKAP PROP'!$B$10:$C$15</c:f>
              <c:multiLvlStrCache/>
            </c:multiLvlStrRef>
          </c:cat>
          <c:val>
            <c:numRef>
              <c:f>'REKAP PROP'!$J$10:$J$15</c:f>
              <c:numCache/>
            </c:numRef>
          </c:val>
          <c:smooth val="0"/>
        </c:ser>
        <c:marker val="1"/>
        <c:axId val="44605437"/>
        <c:axId val="65904614"/>
      </c:lineChart>
      <c:catAx>
        <c:axId val="44605437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1"/>
        <c:majorTickMark val="out"/>
        <c:minorTickMark val="none"/>
        <c:tickLblPos val="nextTo"/>
        <c:crossAx val="65904614"/>
        <c:crossesAt val="0.5"/>
        <c:auto val="1"/>
        <c:lblOffset val="100"/>
        <c:tickLblSkip val="1"/>
        <c:noMultiLvlLbl val="0"/>
      </c:catAx>
      <c:valAx>
        <c:axId val="65904614"/>
        <c:scaling>
          <c:orientation val="minMax"/>
          <c:max val="1.1"/>
          <c:min val="0.0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Faktor K</a:t>
                </a:r>
              </a:p>
            </c:rich>
          </c:tx>
          <c:layout>
            <c:manualLayout>
              <c:xMode val="factor"/>
              <c:yMode val="factor"/>
              <c:x val="-0.0272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05437"/>
        <c:crossesAt val="1"/>
        <c:crossBetween val="between"/>
        <c:dispUnits/>
        <c:majorUnit val="0.1"/>
        <c:minorUnit val="0.1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FF66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Grafik Debit Bendung-bendung pada Balai PSDA Bengawan Solo 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Periode Minggu ke I ( tgl. 03 s/d 09 Januari 2011 )</a:t>
            </a:r>
          </a:p>
        </c:rich>
      </c:tx>
      <c:layout>
        <c:manualLayout>
          <c:xMode val="factor"/>
          <c:yMode val="factor"/>
          <c:x val="-0.19"/>
          <c:y val="0.0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2025"/>
          <c:w val="0.8915"/>
          <c:h val="0.7785"/>
        </c:manualLayout>
      </c:layout>
      <c:barChart>
        <c:barDir val="col"/>
        <c:grouping val="clustered"/>
        <c:varyColors val="0"/>
        <c:ser>
          <c:idx val="1"/>
          <c:order val="0"/>
          <c:tx>
            <c:v>Q Tersedia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'BENG.SOLO'!$D$11:$D$54</c:f>
              <c:strCache/>
            </c:strRef>
          </c:cat>
          <c:val>
            <c:numRef>
              <c:f>'BENG.SOLO'!$J$11:$J$54</c:f>
              <c:numCache/>
            </c:numRef>
          </c:val>
        </c:ser>
        <c:ser>
          <c:idx val="2"/>
          <c:order val="1"/>
          <c:tx>
            <c:v>Q Dibutuhkan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'BENG.SOLO'!$D$11:$D$54</c:f>
              <c:strCache/>
            </c:strRef>
          </c:cat>
          <c:val>
            <c:numRef>
              <c:f>'BENG.SOLO'!$K$11:$K$54</c:f>
              <c:numCache/>
            </c:numRef>
          </c:val>
        </c:ser>
        <c:gapWidth val="100"/>
        <c:axId val="56270615"/>
        <c:axId val="36673488"/>
      </c:barChart>
      <c:catAx>
        <c:axId val="5627061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300000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73488"/>
        <c:crossesAt val="0.1"/>
        <c:auto val="1"/>
        <c:lblOffset val="100"/>
        <c:tickLblSkip val="1"/>
        <c:noMultiLvlLbl val="0"/>
      </c:catAx>
      <c:valAx>
        <c:axId val="3667348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DEBIT ( m3/det 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70615"/>
        <c:crosses val="max"/>
        <c:crossBetween val="between"/>
        <c:dispUnits/>
        <c:majorUnit val="5"/>
        <c:minorUnit val="1"/>
      </c:valAx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81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475"/>
          <c:y val="0.91475"/>
          <c:w val="0.2505"/>
          <c:h val="0.02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FF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1575"/>
          <c:w val="0.91875"/>
          <c:h val="0.78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'BENG.SOLO'!$D$11:$D$54</c:f>
              <c:strCache/>
            </c:strRef>
          </c:cat>
          <c:val>
            <c:numRef>
              <c:f>'BENG.SOLO'!$L$11:$L$54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'BENG.SOLO'!$D$11:$D$54</c:f>
              <c:strCache/>
            </c:strRef>
          </c:cat>
          <c:val>
            <c:numRef>
              <c:f>'BENG.SOLO'!$L$11:$L$54</c:f>
              <c:numCache/>
            </c:numRef>
          </c:val>
          <c:smooth val="0"/>
        </c:ser>
        <c:marker val="1"/>
        <c:axId val="61625937"/>
        <c:axId val="17762522"/>
      </c:lineChart>
      <c:catAx>
        <c:axId val="61625937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Faktor K</a:t>
                </a:r>
              </a:p>
            </c:rich>
          </c:tx>
          <c:layout>
            <c:manualLayout>
              <c:xMode val="factor"/>
              <c:yMode val="factor"/>
              <c:x val="0.12425"/>
              <c:y val="-0.14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30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17762522"/>
        <c:crosses val="autoZero"/>
        <c:auto val="0"/>
        <c:lblOffset val="100"/>
        <c:tickLblSkip val="1"/>
        <c:noMultiLvlLbl val="0"/>
      </c:catAx>
      <c:valAx>
        <c:axId val="17762522"/>
        <c:scaling>
          <c:orientation val="minMax"/>
          <c:max val="1.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61625937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59"/>
          <c:y val="0.09325"/>
          <c:w val="0.918"/>
          <c:h val="0.91"/>
        </c:manualLayout>
      </c:layout>
      <c:lineChart>
        <c:grouping val="standard"/>
        <c:varyColors val="0"/>
        <c:ser>
          <c:idx val="0"/>
          <c:order val="0"/>
          <c:tx>
            <c:v>GRAFIK BENDUNG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008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'PROB-SCIT'!$D$10:$D$48</c:f>
              <c:strCache/>
            </c:strRef>
          </c:cat>
          <c:val>
            <c:numRef>
              <c:f>'PROB-SCIT'!$L$10:$L$48</c:f>
              <c:numCache/>
            </c:numRef>
          </c:val>
          <c:smooth val="0"/>
        </c:ser>
        <c:ser>
          <c:idx val="1"/>
          <c:order val="1"/>
          <c:tx>
            <c:v>Q Tersedia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'PROB-SCIT'!$D$10:$D$48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2"/>
          <c:order val="2"/>
          <c:tx>
            <c:v>Q Dibutuhkan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'PROB-SCIT'!$D$10:$D$48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3"/>
          <c:order val="3"/>
          <c:tx>
            <c:v>BENDUNG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'PROB-SCIT'!$D$10:$D$48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'PROB-SCIT'!$D$10:$D$48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dropLines>
          <c:spPr>
            <a:ln w="3175">
              <a:solidFill>
                <a:srgbClr val="0000FF"/>
              </a:solidFill>
            </a:ln>
          </c:spPr>
        </c:dropLines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25644971"/>
        <c:axId val="29478148"/>
      </c:lineChart>
      <c:catAx>
        <c:axId val="25644971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80"/>
            </a:solidFill>
          </a:ln>
        </c:spPr>
        <c:txPr>
          <a:bodyPr vert="horz" rot="30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78148"/>
        <c:crossesAt val="1"/>
        <c:auto val="1"/>
        <c:lblOffset val="100"/>
        <c:tickLblSkip val="1"/>
        <c:noMultiLvlLbl val="0"/>
      </c:catAx>
      <c:valAx>
        <c:axId val="2947814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Faktor  K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2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44971"/>
        <c:crossesAt val="1"/>
        <c:crossBetween val="between"/>
        <c:dispUnits/>
        <c:majorUnit val="0.1"/>
        <c:minorUnit val="0.1"/>
      </c:valAx>
      <c:spPr>
        <a:solidFill>
          <a:srgbClr val="C0C0C0"/>
        </a:solidFill>
        <a:ln w="381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FF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025"/>
          <c:y val="0.115"/>
          <c:w val="0.91525"/>
          <c:h val="0.88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008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'PC-JT-SL'!$D$15:$D$70</c:f>
              <c:strCache/>
            </c:strRef>
          </c:cat>
          <c:val>
            <c:numRef>
              <c:f>'PC-JT-SL'!$L$15:$L$70</c:f>
              <c:numCache/>
            </c:numRef>
          </c:val>
          <c:smooth val="0"/>
        </c:ser>
        <c:ser>
          <c:idx val="1"/>
          <c:order val="1"/>
          <c:tx>
            <c:v>Q Tersedia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'PC-JT-SL'!$D$12:$D$67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2"/>
          <c:order val="2"/>
          <c:tx>
            <c:v>Q Dibutuhkan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'PC-JT-SL'!$D$12:$D$67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3"/>
          <c:order val="3"/>
          <c:tx>
            <c:v>BENDUNG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'PC-JT-SL'!$D$12:$D$67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'PC-JT-SL'!$D$12:$D$67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63976741"/>
        <c:axId val="38919758"/>
      </c:lineChart>
      <c:catAx>
        <c:axId val="63976741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80"/>
            </a:solidFill>
          </a:ln>
        </c:spPr>
        <c:txPr>
          <a:bodyPr vert="horz" rot="30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19758"/>
        <c:crossesAt val="0.5"/>
        <c:auto val="1"/>
        <c:lblOffset val="100"/>
        <c:tickLblSkip val="1"/>
        <c:noMultiLvlLbl val="0"/>
      </c:catAx>
      <c:valAx>
        <c:axId val="38919758"/>
        <c:scaling>
          <c:orientation val="minMax"/>
          <c:max val="1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5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Faktor  K</a:t>
                </a:r>
              </a:p>
            </c:rich>
          </c:tx>
          <c:layout>
            <c:manualLayout>
              <c:xMode val="factor"/>
              <c:yMode val="factor"/>
              <c:x val="-0.016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76741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381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Grafik Faktor  K  Bendung-bendung pada Balai PSDA Pemali Comal, Jratun dan Seluna 
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Periode Minggu ke  I  ( tgl. 03 s/d 09  Januari  2011 )</a:t>
            </a:r>
          </a:p>
        </c:rich>
      </c:tx>
      <c:layout>
        <c:manualLayout>
          <c:xMode val="factor"/>
          <c:yMode val="factor"/>
          <c:x val="0.00225"/>
          <c:y val="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07975"/>
          <c:w val="0.8675"/>
          <c:h val="0.922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008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'PC-JT-SL'!$D$12:$D$67</c:f>
              <c:strCache/>
            </c:strRef>
          </c:cat>
          <c:val>
            <c:numRef>
              <c:f>'PC-JT-SL'!$L$12:$L$67</c:f>
              <c:numCache/>
            </c:numRef>
          </c:val>
          <c:smooth val="0"/>
        </c:ser>
        <c:ser>
          <c:idx val="1"/>
          <c:order val="1"/>
          <c:tx>
            <c:v>Q Tersedia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'PC-JT-SL'!$D$12:$D$67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2"/>
          <c:order val="2"/>
          <c:tx>
            <c:v>Q Dibutuhkan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'PC-JT-SL'!$D$12:$D$67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3"/>
          <c:order val="3"/>
          <c:tx>
            <c:v>BENDUNG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'PC-JT-SL'!$D$12:$D$67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'PC-JT-SL'!$D$12:$D$67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dropLines>
          <c:spPr>
            <a:ln w="3175">
              <a:solidFill>
                <a:srgbClr val="0000FF"/>
              </a:solidFill>
            </a:ln>
          </c:spPr>
        </c:dropLines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14733503"/>
        <c:axId val="65492664"/>
      </c:lineChart>
      <c:catAx>
        <c:axId val="1473350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80"/>
            </a:solidFill>
          </a:ln>
        </c:spPr>
        <c:txPr>
          <a:bodyPr vert="horz" rot="30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92664"/>
        <c:crossesAt val="0.5"/>
        <c:auto val="1"/>
        <c:lblOffset val="100"/>
        <c:tickLblSkip val="1"/>
        <c:noMultiLvlLbl val="0"/>
      </c:catAx>
      <c:valAx>
        <c:axId val="65492664"/>
        <c:scaling>
          <c:orientation val="minMax"/>
          <c:max val="1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5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Faktor  K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33503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381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i Comal, Jratun dan Serang Lusi Juana
</a:t>
            </a:r>
            <a:r>
              <a: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Periode   IV ( tanggal  26 Januari s/d   01  Pebruari 2009   )</a:t>
            </a:r>
          </a:p>
        </c:rich>
      </c:tx>
      <c:layout>
        <c:manualLayout>
          <c:xMode val="factor"/>
          <c:yMode val="factor"/>
          <c:x val="-0.118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0925"/>
          <c:w val="0.91"/>
          <c:h val="0.89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008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'PC-JT-SL'!$D$12:$D$67</c:f>
              <c:strCache>
                <c:ptCount val="56"/>
                <c:pt idx="0">
                  <c:v>Krompeng/Kupang</c:v>
                </c:pt>
                <c:pt idx="1">
                  <c:v>Pesantren Kletak</c:v>
                </c:pt>
                <c:pt idx="2">
                  <c:v>Kaliwadas</c:v>
                </c:pt>
                <c:pt idx="3">
                  <c:v>Notog/P. Bawah</c:v>
                </c:pt>
                <c:pt idx="4">
                  <c:v>Sukowati</c:v>
                </c:pt>
                <c:pt idx="5">
                  <c:v>Brondong</c:v>
                </c:pt>
                <c:pt idx="6">
                  <c:v>Sungapan</c:v>
                </c:pt>
                <c:pt idx="7">
                  <c:v>Cisadap</c:v>
                </c:pt>
                <c:pt idx="8">
                  <c:v>Nambo</c:v>
                </c:pt>
                <c:pt idx="9">
                  <c:v>Cibendung</c:v>
                </c:pt>
                <c:pt idx="10">
                  <c:v>Dukuhjati</c:v>
                </c:pt>
                <c:pt idx="11">
                  <c:v>Danawarih</c:v>
                </c:pt>
                <c:pt idx="12">
                  <c:v>Cipero</c:v>
                </c:pt>
                <c:pt idx="13">
                  <c:v>Cawitali</c:v>
                </c:pt>
                <c:pt idx="14">
                  <c:v>Kd.Dowo Kramat</c:v>
                </c:pt>
                <c:pt idx="15">
                  <c:v>Asem Siketek</c:v>
                </c:pt>
                <c:pt idx="16">
                  <c:v>Tapak Menjangan</c:v>
                </c:pt>
                <c:pt idx="17">
                  <c:v>Padurekso</c:v>
                </c:pt>
                <c:pt idx="18">
                  <c:v>Sudikampir</c:v>
                </c:pt>
                <c:pt idx="19">
                  <c:v>Mejagong</c:v>
                </c:pt>
                <c:pt idx="20">
                  <c:v>Kejene</c:v>
                </c:pt>
                <c:pt idx="21">
                  <c:v>Pesayangan</c:v>
                </c:pt>
                <c:pt idx="22">
                  <c:v>Sidapurna</c:v>
                </c:pt>
                <c:pt idx="23">
                  <c:v>Gangsa/G. Lumingser</c:v>
                </c:pt>
                <c:pt idx="24">
                  <c:v>Parakan Kidang</c:v>
                </c:pt>
                <c:pt idx="25">
                  <c:v>Gondang</c:v>
                </c:pt>
                <c:pt idx="26">
                  <c:v>Lenggor</c:v>
                </c:pt>
                <c:pt idx="27">
                  <c:v>Karanganyar</c:v>
                </c:pt>
                <c:pt idx="28">
                  <c:v>Beji</c:v>
                </c:pt>
                <c:pt idx="29">
                  <c:v>Kemaron</c:v>
                </c:pt>
                <c:pt idx="32">
                  <c:v>Kedungasem</c:v>
                </c:pt>
                <c:pt idx="33">
                  <c:v>Juwero</c:v>
                </c:pt>
                <c:pt idx="34">
                  <c:v>Sojomerto</c:v>
                </c:pt>
                <c:pt idx="35">
                  <c:v>Kedung Pengilon</c:v>
                </c:pt>
                <c:pt idx="36">
                  <c:v>Plumbon</c:v>
                </c:pt>
                <c:pt idx="37">
                  <c:v>Pucang Gading</c:v>
                </c:pt>
                <c:pt idx="38">
                  <c:v>Jragung</c:v>
                </c:pt>
                <c:pt idx="39">
                  <c:v>Glapan</c:v>
                </c:pt>
                <c:pt idx="40">
                  <c:v>Senjoyo (Ajiawur)</c:v>
                </c:pt>
                <c:pt idx="41">
                  <c:v>Sidopangus</c:v>
                </c:pt>
                <c:pt idx="42">
                  <c:v>Jajar</c:v>
                </c:pt>
                <c:pt idx="45">
                  <c:v>Bakalan</c:v>
                </c:pt>
                <c:pt idx="46">
                  <c:v>Medani</c:v>
                </c:pt>
                <c:pt idx="47">
                  <c:v>Bang (Mijen )</c:v>
                </c:pt>
                <c:pt idx="48">
                  <c:v>Babadan</c:v>
                </c:pt>
                <c:pt idx="49">
                  <c:v>Kedungsapen</c:v>
                </c:pt>
                <c:pt idx="50">
                  <c:v>Kramat</c:v>
                </c:pt>
                <c:pt idx="51">
                  <c:v>Kedungwaru</c:v>
                </c:pt>
                <c:pt idx="52">
                  <c:v>Logung</c:v>
                </c:pt>
                <c:pt idx="53">
                  <c:v>Siwayut</c:v>
                </c:pt>
                <c:pt idx="54">
                  <c:v>Widodaren</c:v>
                </c:pt>
                <c:pt idx="55">
                  <c:v>Sentul</c:v>
                </c:pt>
              </c:strCache>
            </c:strRef>
          </c:cat>
          <c:val>
            <c:numRef>
              <c:f>'PC-JT-SL'!$L$12:$L$67</c:f>
              <c:numCache>
                <c:ptCount val="5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0.5789035392088827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5">
                  <c:v>0.9027777777777777</c:v>
                </c:pt>
                <c:pt idx="46">
                  <c:v>1</c:v>
                </c:pt>
                <c:pt idx="47">
                  <c:v>0.37396593673965933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0.5879120879120879</c:v>
                </c:pt>
                <c:pt idx="54">
                  <c:v>0.507163323782235</c:v>
                </c:pt>
                <c:pt idx="55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Q Tersedia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'PC-JT-SL'!$D$12:$D$67</c:f>
              <c:strCache>
                <c:ptCount val="56"/>
                <c:pt idx="0">
                  <c:v>Krompeng/Kupang</c:v>
                </c:pt>
                <c:pt idx="1">
                  <c:v>Pesantren Kletak</c:v>
                </c:pt>
                <c:pt idx="2">
                  <c:v>Kaliwadas</c:v>
                </c:pt>
                <c:pt idx="3">
                  <c:v>Notog/P. Bawah</c:v>
                </c:pt>
                <c:pt idx="4">
                  <c:v>Sukowati</c:v>
                </c:pt>
                <c:pt idx="5">
                  <c:v>Brondong</c:v>
                </c:pt>
                <c:pt idx="6">
                  <c:v>Sungapan</c:v>
                </c:pt>
                <c:pt idx="7">
                  <c:v>Cisadap</c:v>
                </c:pt>
                <c:pt idx="8">
                  <c:v>Nambo</c:v>
                </c:pt>
                <c:pt idx="9">
                  <c:v>Cibendung</c:v>
                </c:pt>
                <c:pt idx="10">
                  <c:v>Dukuhjati</c:v>
                </c:pt>
                <c:pt idx="11">
                  <c:v>Danawarih</c:v>
                </c:pt>
                <c:pt idx="12">
                  <c:v>Cipero</c:v>
                </c:pt>
                <c:pt idx="13">
                  <c:v>Cawitali</c:v>
                </c:pt>
                <c:pt idx="14">
                  <c:v>Kd.Dowo Kramat</c:v>
                </c:pt>
                <c:pt idx="15">
                  <c:v>Asem Siketek</c:v>
                </c:pt>
                <c:pt idx="16">
                  <c:v>Tapak Menjangan</c:v>
                </c:pt>
                <c:pt idx="17">
                  <c:v>Padurekso</c:v>
                </c:pt>
                <c:pt idx="18">
                  <c:v>Sudikampir</c:v>
                </c:pt>
                <c:pt idx="19">
                  <c:v>Mejagong</c:v>
                </c:pt>
                <c:pt idx="20">
                  <c:v>Kejene</c:v>
                </c:pt>
                <c:pt idx="21">
                  <c:v>Pesayangan</c:v>
                </c:pt>
                <c:pt idx="22">
                  <c:v>Sidapurna</c:v>
                </c:pt>
                <c:pt idx="23">
                  <c:v>Gangsa/G. Lumingser</c:v>
                </c:pt>
                <c:pt idx="24">
                  <c:v>Parakan Kidang</c:v>
                </c:pt>
                <c:pt idx="25">
                  <c:v>Gondang</c:v>
                </c:pt>
                <c:pt idx="26">
                  <c:v>Lenggor</c:v>
                </c:pt>
                <c:pt idx="27">
                  <c:v>Karanganyar</c:v>
                </c:pt>
                <c:pt idx="28">
                  <c:v>Beji</c:v>
                </c:pt>
                <c:pt idx="29">
                  <c:v>Kemaron</c:v>
                </c:pt>
                <c:pt idx="32">
                  <c:v>Kedungasem</c:v>
                </c:pt>
                <c:pt idx="33">
                  <c:v>Juwero</c:v>
                </c:pt>
                <c:pt idx="34">
                  <c:v>Sojomerto</c:v>
                </c:pt>
                <c:pt idx="35">
                  <c:v>Kedung Pengilon</c:v>
                </c:pt>
                <c:pt idx="36">
                  <c:v>Plumbon</c:v>
                </c:pt>
                <c:pt idx="37">
                  <c:v>Pucang Gading</c:v>
                </c:pt>
                <c:pt idx="38">
                  <c:v>Jragung</c:v>
                </c:pt>
                <c:pt idx="39">
                  <c:v>Glapan</c:v>
                </c:pt>
                <c:pt idx="40">
                  <c:v>Senjoyo (Ajiawur)</c:v>
                </c:pt>
                <c:pt idx="41">
                  <c:v>Sidopangus</c:v>
                </c:pt>
                <c:pt idx="42">
                  <c:v>Jajar</c:v>
                </c:pt>
                <c:pt idx="45">
                  <c:v>Bakalan</c:v>
                </c:pt>
                <c:pt idx="46">
                  <c:v>Medani</c:v>
                </c:pt>
                <c:pt idx="47">
                  <c:v>Bang (Mijen )</c:v>
                </c:pt>
                <c:pt idx="48">
                  <c:v>Babadan</c:v>
                </c:pt>
                <c:pt idx="49">
                  <c:v>Kedungsapen</c:v>
                </c:pt>
                <c:pt idx="50">
                  <c:v>Kramat</c:v>
                </c:pt>
                <c:pt idx="51">
                  <c:v>Kedungwaru</c:v>
                </c:pt>
                <c:pt idx="52">
                  <c:v>Logung</c:v>
                </c:pt>
                <c:pt idx="53">
                  <c:v>Siwayut</c:v>
                </c:pt>
                <c:pt idx="54">
                  <c:v>Widodaren</c:v>
                </c:pt>
                <c:pt idx="55">
                  <c:v>Sentul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2"/>
          <c:order val="2"/>
          <c:tx>
            <c:v>Q Dibutuhkan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'PC-JT-SL'!$D$12:$D$67</c:f>
              <c:strCache>
                <c:ptCount val="56"/>
                <c:pt idx="0">
                  <c:v>Krompeng/Kupang</c:v>
                </c:pt>
                <c:pt idx="1">
                  <c:v>Pesantren Kletak</c:v>
                </c:pt>
                <c:pt idx="2">
                  <c:v>Kaliwadas</c:v>
                </c:pt>
                <c:pt idx="3">
                  <c:v>Notog/P. Bawah</c:v>
                </c:pt>
                <c:pt idx="4">
                  <c:v>Sukowati</c:v>
                </c:pt>
                <c:pt idx="5">
                  <c:v>Brondong</c:v>
                </c:pt>
                <c:pt idx="6">
                  <c:v>Sungapan</c:v>
                </c:pt>
                <c:pt idx="7">
                  <c:v>Cisadap</c:v>
                </c:pt>
                <c:pt idx="8">
                  <c:v>Nambo</c:v>
                </c:pt>
                <c:pt idx="9">
                  <c:v>Cibendung</c:v>
                </c:pt>
                <c:pt idx="10">
                  <c:v>Dukuhjati</c:v>
                </c:pt>
                <c:pt idx="11">
                  <c:v>Danawarih</c:v>
                </c:pt>
                <c:pt idx="12">
                  <c:v>Cipero</c:v>
                </c:pt>
                <c:pt idx="13">
                  <c:v>Cawitali</c:v>
                </c:pt>
                <c:pt idx="14">
                  <c:v>Kd.Dowo Kramat</c:v>
                </c:pt>
                <c:pt idx="15">
                  <c:v>Asem Siketek</c:v>
                </c:pt>
                <c:pt idx="16">
                  <c:v>Tapak Menjangan</c:v>
                </c:pt>
                <c:pt idx="17">
                  <c:v>Padurekso</c:v>
                </c:pt>
                <c:pt idx="18">
                  <c:v>Sudikampir</c:v>
                </c:pt>
                <c:pt idx="19">
                  <c:v>Mejagong</c:v>
                </c:pt>
                <c:pt idx="20">
                  <c:v>Kejene</c:v>
                </c:pt>
                <c:pt idx="21">
                  <c:v>Pesayangan</c:v>
                </c:pt>
                <c:pt idx="22">
                  <c:v>Sidapurna</c:v>
                </c:pt>
                <c:pt idx="23">
                  <c:v>Gangsa/G. Lumingser</c:v>
                </c:pt>
                <c:pt idx="24">
                  <c:v>Parakan Kidang</c:v>
                </c:pt>
                <c:pt idx="25">
                  <c:v>Gondang</c:v>
                </c:pt>
                <c:pt idx="26">
                  <c:v>Lenggor</c:v>
                </c:pt>
                <c:pt idx="27">
                  <c:v>Karanganyar</c:v>
                </c:pt>
                <c:pt idx="28">
                  <c:v>Beji</c:v>
                </c:pt>
                <c:pt idx="29">
                  <c:v>Kemaron</c:v>
                </c:pt>
                <c:pt idx="32">
                  <c:v>Kedungasem</c:v>
                </c:pt>
                <c:pt idx="33">
                  <c:v>Juwero</c:v>
                </c:pt>
                <c:pt idx="34">
                  <c:v>Sojomerto</c:v>
                </c:pt>
                <c:pt idx="35">
                  <c:v>Kedung Pengilon</c:v>
                </c:pt>
                <c:pt idx="36">
                  <c:v>Plumbon</c:v>
                </c:pt>
                <c:pt idx="37">
                  <c:v>Pucang Gading</c:v>
                </c:pt>
                <c:pt idx="38">
                  <c:v>Jragung</c:v>
                </c:pt>
                <c:pt idx="39">
                  <c:v>Glapan</c:v>
                </c:pt>
                <c:pt idx="40">
                  <c:v>Senjoyo (Ajiawur)</c:v>
                </c:pt>
                <c:pt idx="41">
                  <c:v>Sidopangus</c:v>
                </c:pt>
                <c:pt idx="42">
                  <c:v>Jajar</c:v>
                </c:pt>
                <c:pt idx="45">
                  <c:v>Bakalan</c:v>
                </c:pt>
                <c:pt idx="46">
                  <c:v>Medani</c:v>
                </c:pt>
                <c:pt idx="47">
                  <c:v>Bang (Mijen )</c:v>
                </c:pt>
                <c:pt idx="48">
                  <c:v>Babadan</c:v>
                </c:pt>
                <c:pt idx="49">
                  <c:v>Kedungsapen</c:v>
                </c:pt>
                <c:pt idx="50">
                  <c:v>Kramat</c:v>
                </c:pt>
                <c:pt idx="51">
                  <c:v>Kedungwaru</c:v>
                </c:pt>
                <c:pt idx="52">
                  <c:v>Logung</c:v>
                </c:pt>
                <c:pt idx="53">
                  <c:v>Siwayut</c:v>
                </c:pt>
                <c:pt idx="54">
                  <c:v>Widodaren</c:v>
                </c:pt>
                <c:pt idx="55">
                  <c:v>Sentul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3"/>
          <c:order val="3"/>
          <c:tx>
            <c:v>BENDUNG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'PC-JT-SL'!$D$12:$D$67</c:f>
              <c:strCache>
                <c:ptCount val="56"/>
                <c:pt idx="0">
                  <c:v>Krompeng/Kupang</c:v>
                </c:pt>
                <c:pt idx="1">
                  <c:v>Pesantren Kletak</c:v>
                </c:pt>
                <c:pt idx="2">
                  <c:v>Kaliwadas</c:v>
                </c:pt>
                <c:pt idx="3">
                  <c:v>Notog/P. Bawah</c:v>
                </c:pt>
                <c:pt idx="4">
                  <c:v>Sukowati</c:v>
                </c:pt>
                <c:pt idx="5">
                  <c:v>Brondong</c:v>
                </c:pt>
                <c:pt idx="6">
                  <c:v>Sungapan</c:v>
                </c:pt>
                <c:pt idx="7">
                  <c:v>Cisadap</c:v>
                </c:pt>
                <c:pt idx="8">
                  <c:v>Nambo</c:v>
                </c:pt>
                <c:pt idx="9">
                  <c:v>Cibendung</c:v>
                </c:pt>
                <c:pt idx="10">
                  <c:v>Dukuhjati</c:v>
                </c:pt>
                <c:pt idx="11">
                  <c:v>Danawarih</c:v>
                </c:pt>
                <c:pt idx="12">
                  <c:v>Cipero</c:v>
                </c:pt>
                <c:pt idx="13">
                  <c:v>Cawitali</c:v>
                </c:pt>
                <c:pt idx="14">
                  <c:v>Kd.Dowo Kramat</c:v>
                </c:pt>
                <c:pt idx="15">
                  <c:v>Asem Siketek</c:v>
                </c:pt>
                <c:pt idx="16">
                  <c:v>Tapak Menjangan</c:v>
                </c:pt>
                <c:pt idx="17">
                  <c:v>Padurekso</c:v>
                </c:pt>
                <c:pt idx="18">
                  <c:v>Sudikampir</c:v>
                </c:pt>
                <c:pt idx="19">
                  <c:v>Mejagong</c:v>
                </c:pt>
                <c:pt idx="20">
                  <c:v>Kejene</c:v>
                </c:pt>
                <c:pt idx="21">
                  <c:v>Pesayangan</c:v>
                </c:pt>
                <c:pt idx="22">
                  <c:v>Sidapurna</c:v>
                </c:pt>
                <c:pt idx="23">
                  <c:v>Gangsa/G. Lumingser</c:v>
                </c:pt>
                <c:pt idx="24">
                  <c:v>Parakan Kidang</c:v>
                </c:pt>
                <c:pt idx="25">
                  <c:v>Gondang</c:v>
                </c:pt>
                <c:pt idx="26">
                  <c:v>Lenggor</c:v>
                </c:pt>
                <c:pt idx="27">
                  <c:v>Karanganyar</c:v>
                </c:pt>
                <c:pt idx="28">
                  <c:v>Beji</c:v>
                </c:pt>
                <c:pt idx="29">
                  <c:v>Kemaron</c:v>
                </c:pt>
                <c:pt idx="32">
                  <c:v>Kedungasem</c:v>
                </c:pt>
                <c:pt idx="33">
                  <c:v>Juwero</c:v>
                </c:pt>
                <c:pt idx="34">
                  <c:v>Sojomerto</c:v>
                </c:pt>
                <c:pt idx="35">
                  <c:v>Kedung Pengilon</c:v>
                </c:pt>
                <c:pt idx="36">
                  <c:v>Plumbon</c:v>
                </c:pt>
                <c:pt idx="37">
                  <c:v>Pucang Gading</c:v>
                </c:pt>
                <c:pt idx="38">
                  <c:v>Jragung</c:v>
                </c:pt>
                <c:pt idx="39">
                  <c:v>Glapan</c:v>
                </c:pt>
                <c:pt idx="40">
                  <c:v>Senjoyo (Ajiawur)</c:v>
                </c:pt>
                <c:pt idx="41">
                  <c:v>Sidopangus</c:v>
                </c:pt>
                <c:pt idx="42">
                  <c:v>Jajar</c:v>
                </c:pt>
                <c:pt idx="45">
                  <c:v>Bakalan</c:v>
                </c:pt>
                <c:pt idx="46">
                  <c:v>Medani</c:v>
                </c:pt>
                <c:pt idx="47">
                  <c:v>Bang (Mijen )</c:v>
                </c:pt>
                <c:pt idx="48">
                  <c:v>Babadan</c:v>
                </c:pt>
                <c:pt idx="49">
                  <c:v>Kedungsapen</c:v>
                </c:pt>
                <c:pt idx="50">
                  <c:v>Kramat</c:v>
                </c:pt>
                <c:pt idx="51">
                  <c:v>Kedungwaru</c:v>
                </c:pt>
                <c:pt idx="52">
                  <c:v>Logung</c:v>
                </c:pt>
                <c:pt idx="53">
                  <c:v>Siwayut</c:v>
                </c:pt>
                <c:pt idx="54">
                  <c:v>Widodaren</c:v>
                </c:pt>
                <c:pt idx="55">
                  <c:v>Sentul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'PC-JT-SL'!$D$12:$D$67</c:f>
              <c:strCache>
                <c:ptCount val="56"/>
                <c:pt idx="0">
                  <c:v>Krompeng/Kupang</c:v>
                </c:pt>
                <c:pt idx="1">
                  <c:v>Pesantren Kletak</c:v>
                </c:pt>
                <c:pt idx="2">
                  <c:v>Kaliwadas</c:v>
                </c:pt>
                <c:pt idx="3">
                  <c:v>Notog/P. Bawah</c:v>
                </c:pt>
                <c:pt idx="4">
                  <c:v>Sukowati</c:v>
                </c:pt>
                <c:pt idx="5">
                  <c:v>Brondong</c:v>
                </c:pt>
                <c:pt idx="6">
                  <c:v>Sungapan</c:v>
                </c:pt>
                <c:pt idx="7">
                  <c:v>Cisadap</c:v>
                </c:pt>
                <c:pt idx="8">
                  <c:v>Nambo</c:v>
                </c:pt>
                <c:pt idx="9">
                  <c:v>Cibendung</c:v>
                </c:pt>
                <c:pt idx="10">
                  <c:v>Dukuhjati</c:v>
                </c:pt>
                <c:pt idx="11">
                  <c:v>Danawarih</c:v>
                </c:pt>
                <c:pt idx="12">
                  <c:v>Cipero</c:v>
                </c:pt>
                <c:pt idx="13">
                  <c:v>Cawitali</c:v>
                </c:pt>
                <c:pt idx="14">
                  <c:v>Kd.Dowo Kramat</c:v>
                </c:pt>
                <c:pt idx="15">
                  <c:v>Asem Siketek</c:v>
                </c:pt>
                <c:pt idx="16">
                  <c:v>Tapak Menjangan</c:v>
                </c:pt>
                <c:pt idx="17">
                  <c:v>Padurekso</c:v>
                </c:pt>
                <c:pt idx="18">
                  <c:v>Sudikampir</c:v>
                </c:pt>
                <c:pt idx="19">
                  <c:v>Mejagong</c:v>
                </c:pt>
                <c:pt idx="20">
                  <c:v>Kejene</c:v>
                </c:pt>
                <c:pt idx="21">
                  <c:v>Pesayangan</c:v>
                </c:pt>
                <c:pt idx="22">
                  <c:v>Sidapurna</c:v>
                </c:pt>
                <c:pt idx="23">
                  <c:v>Gangsa/G. Lumingser</c:v>
                </c:pt>
                <c:pt idx="24">
                  <c:v>Parakan Kidang</c:v>
                </c:pt>
                <c:pt idx="25">
                  <c:v>Gondang</c:v>
                </c:pt>
                <c:pt idx="26">
                  <c:v>Lenggor</c:v>
                </c:pt>
                <c:pt idx="27">
                  <c:v>Karanganyar</c:v>
                </c:pt>
                <c:pt idx="28">
                  <c:v>Beji</c:v>
                </c:pt>
                <c:pt idx="29">
                  <c:v>Kemaron</c:v>
                </c:pt>
                <c:pt idx="32">
                  <c:v>Kedungasem</c:v>
                </c:pt>
                <c:pt idx="33">
                  <c:v>Juwero</c:v>
                </c:pt>
                <c:pt idx="34">
                  <c:v>Sojomerto</c:v>
                </c:pt>
                <c:pt idx="35">
                  <c:v>Kedung Pengilon</c:v>
                </c:pt>
                <c:pt idx="36">
                  <c:v>Plumbon</c:v>
                </c:pt>
                <c:pt idx="37">
                  <c:v>Pucang Gading</c:v>
                </c:pt>
                <c:pt idx="38">
                  <c:v>Jragung</c:v>
                </c:pt>
                <c:pt idx="39">
                  <c:v>Glapan</c:v>
                </c:pt>
                <c:pt idx="40">
                  <c:v>Senjoyo (Ajiawur)</c:v>
                </c:pt>
                <c:pt idx="41">
                  <c:v>Sidopangus</c:v>
                </c:pt>
                <c:pt idx="42">
                  <c:v>Jajar</c:v>
                </c:pt>
                <c:pt idx="45">
                  <c:v>Bakalan</c:v>
                </c:pt>
                <c:pt idx="46">
                  <c:v>Medani</c:v>
                </c:pt>
                <c:pt idx="47">
                  <c:v>Bang (Mijen )</c:v>
                </c:pt>
                <c:pt idx="48">
                  <c:v>Babadan</c:v>
                </c:pt>
                <c:pt idx="49">
                  <c:v>Kedungsapen</c:v>
                </c:pt>
                <c:pt idx="50">
                  <c:v>Kramat</c:v>
                </c:pt>
                <c:pt idx="51">
                  <c:v>Kedungwaru</c:v>
                </c:pt>
                <c:pt idx="52">
                  <c:v>Logung</c:v>
                </c:pt>
                <c:pt idx="53">
                  <c:v>Siwayut</c:v>
                </c:pt>
                <c:pt idx="54">
                  <c:v>Widodaren</c:v>
                </c:pt>
                <c:pt idx="55">
                  <c:v>Sentul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dropLines>
          <c:spPr>
            <a:ln w="3175">
              <a:solidFill>
                <a:srgbClr val="0000FF"/>
              </a:solidFill>
            </a:ln>
          </c:spPr>
        </c:dropLines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52563065"/>
        <c:axId val="3305538"/>
      </c:lineChart>
      <c:catAx>
        <c:axId val="5256306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80"/>
            </a:solidFill>
          </a:ln>
        </c:spPr>
        <c:txPr>
          <a:bodyPr vert="horz" rot="30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5538"/>
        <c:crossesAt val="0.5"/>
        <c:auto val="1"/>
        <c:lblOffset val="100"/>
        <c:tickLblSkip val="1"/>
        <c:noMultiLvlLbl val="0"/>
      </c:catAx>
      <c:valAx>
        <c:axId val="3305538"/>
        <c:scaling>
          <c:orientation val="minMax"/>
          <c:max val="1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5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Faktor  K</a:t>
                </a:r>
              </a:p>
            </c:rich>
          </c:tx>
          <c:layout>
            <c:manualLayout>
              <c:xMode val="factor"/>
              <c:yMode val="factor"/>
              <c:x val="-0.0265"/>
              <c:y val="-0.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63065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38100">
          <a:solidFill>
            <a:srgbClr val="808080"/>
          </a:solidFill>
        </a:ln>
      </c:spPr>
    </c:plotArea>
    <c:plotVisOnly val="1"/>
    <c:dispBlanksAs val="gap"/>
    <c:showDLblsOverMax val="0"/>
  </c:chart>
  <c:spPr>
    <a:pattFill prst="narHorz">
      <a:fgClr>
        <a:srgbClr val="99CC00"/>
      </a:fgClr>
      <a:bgClr>
        <a:srgbClr val="CCFFFF"/>
      </a:bgClr>
    </a:patt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18</xdr:row>
      <xdr:rowOff>47625</xdr:rowOff>
    </xdr:from>
    <xdr:to>
      <xdr:col>11</xdr:col>
      <xdr:colOff>76200</xdr:colOff>
      <xdr:row>50</xdr:row>
      <xdr:rowOff>152400</xdr:rowOff>
    </xdr:to>
    <xdr:graphicFrame>
      <xdr:nvGraphicFramePr>
        <xdr:cNvPr id="1" name="Chart 2"/>
        <xdr:cNvGraphicFramePr/>
      </xdr:nvGraphicFramePr>
      <xdr:xfrm>
        <a:off x="847725" y="4505325"/>
        <a:ext cx="883920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4</xdr:row>
      <xdr:rowOff>0</xdr:rowOff>
    </xdr:from>
    <xdr:to>
      <xdr:col>41</xdr:col>
      <xdr:colOff>142875</xdr:colOff>
      <xdr:row>40</xdr:row>
      <xdr:rowOff>161925</xdr:rowOff>
    </xdr:to>
    <xdr:graphicFrame>
      <xdr:nvGraphicFramePr>
        <xdr:cNvPr id="1" name="Chart 1"/>
        <xdr:cNvGraphicFramePr/>
      </xdr:nvGraphicFramePr>
      <xdr:xfrm>
        <a:off x="18154650" y="1104900"/>
        <a:ext cx="13554075" cy="804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19</xdr:row>
      <xdr:rowOff>47625</xdr:rowOff>
    </xdr:from>
    <xdr:to>
      <xdr:col>11</xdr:col>
      <xdr:colOff>76200</xdr:colOff>
      <xdr:row>51</xdr:row>
      <xdr:rowOff>152400</xdr:rowOff>
    </xdr:to>
    <xdr:graphicFrame>
      <xdr:nvGraphicFramePr>
        <xdr:cNvPr id="1" name="Chart 2"/>
        <xdr:cNvGraphicFramePr/>
      </xdr:nvGraphicFramePr>
      <xdr:xfrm>
        <a:off x="847725" y="4867275"/>
        <a:ext cx="883920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0.06075</cdr:x>
      <cdr:y>0.08875</cdr:y>
    </cdr:from>
    <cdr:to>
      <cdr:x>0.53225</cdr:x>
      <cdr:y>0.13375</cdr:y>
    </cdr:to>
    <cdr:sp>
      <cdr:nvSpPr>
        <cdr:cNvPr id="1" name="TextBox 1"/>
        <cdr:cNvSpPr txBox="1">
          <a:spLocks noChangeArrowheads="1"/>
        </cdr:cNvSpPr>
      </cdr:nvSpPr>
      <cdr:spPr>
        <a:xfrm>
          <a:off x="657225" y="571500"/>
          <a:ext cx="51054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0.07725</cdr:x>
      <cdr:y>0.0315</cdr:y>
    </cdr:from>
    <cdr:to>
      <cdr:x>0.74425</cdr:x>
      <cdr:y>0.15075</cdr:y>
    </cdr:to>
    <cdr:sp>
      <cdr:nvSpPr>
        <cdr:cNvPr id="2" name="TextBox 2"/>
        <cdr:cNvSpPr txBox="1">
          <a:spLocks noChangeArrowheads="1"/>
        </cdr:cNvSpPr>
      </cdr:nvSpPr>
      <cdr:spPr>
        <a:xfrm>
          <a:off x="828675" y="200025"/>
          <a:ext cx="7219950" cy="781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Grafik faktor k Bendung bendung pada Balai PSDA  Bengawan Solo Periode minggu IV ( tgl 27 Pebruari s/ d 4 Maret 2012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666750</xdr:colOff>
      <xdr:row>4</xdr:row>
      <xdr:rowOff>142875</xdr:rowOff>
    </xdr:from>
    <xdr:to>
      <xdr:col>34</xdr:col>
      <xdr:colOff>76200</xdr:colOff>
      <xdr:row>55</xdr:row>
      <xdr:rowOff>161925</xdr:rowOff>
    </xdr:to>
    <xdr:graphicFrame>
      <xdr:nvGraphicFramePr>
        <xdr:cNvPr id="1" name="Chart 1"/>
        <xdr:cNvGraphicFramePr/>
      </xdr:nvGraphicFramePr>
      <xdr:xfrm>
        <a:off x="10086975" y="1162050"/>
        <a:ext cx="12715875" cy="1058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809625</xdr:colOff>
      <xdr:row>57</xdr:row>
      <xdr:rowOff>19050</xdr:rowOff>
    </xdr:from>
    <xdr:to>
      <xdr:col>31</xdr:col>
      <xdr:colOff>161925</xdr:colOff>
      <xdr:row>97</xdr:row>
      <xdr:rowOff>123825</xdr:rowOff>
    </xdr:to>
    <xdr:graphicFrame>
      <xdr:nvGraphicFramePr>
        <xdr:cNvPr id="2" name="Chart 3"/>
        <xdr:cNvGraphicFramePr/>
      </xdr:nvGraphicFramePr>
      <xdr:xfrm>
        <a:off x="10229850" y="12030075"/>
        <a:ext cx="10829925" cy="652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0.209</cdr:x>
      <cdr:y>0.06225</cdr:y>
    </cdr:from>
    <cdr:to>
      <cdr:x>0.80425</cdr:x>
      <cdr:y>0.1095</cdr:y>
    </cdr:to>
    <cdr:sp>
      <cdr:nvSpPr>
        <cdr:cNvPr id="1" name="TextBox 1"/>
        <cdr:cNvSpPr txBox="1">
          <a:spLocks noChangeArrowheads="1"/>
        </cdr:cNvSpPr>
      </cdr:nvSpPr>
      <cdr:spPr>
        <a:xfrm>
          <a:off x="2266950" y="790575"/>
          <a:ext cx="647700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0.099</cdr:x>
      <cdr:y>0.01825</cdr:y>
    </cdr:from>
    <cdr:to>
      <cdr:x>0.96</cdr:x>
      <cdr:y>0.08475</cdr:y>
    </cdr:to>
    <cdr:sp>
      <cdr:nvSpPr>
        <cdr:cNvPr id="2" name="TextBox 2"/>
        <cdr:cNvSpPr txBox="1">
          <a:spLocks noChangeArrowheads="1"/>
        </cdr:cNvSpPr>
      </cdr:nvSpPr>
      <cdr:spPr>
        <a:xfrm>
          <a:off x="1076325" y="228600"/>
          <a:ext cx="9363075" cy="847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Grafik Faktor K Bendung  - bendung pada Balai PSDA Probolo dan Sercit  Periode Minggu I V ( tgl 27 Pebruari  s / d  4 Maret  2012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476250</xdr:colOff>
      <xdr:row>7</xdr:row>
      <xdr:rowOff>180975</xdr:rowOff>
    </xdr:from>
    <xdr:to>
      <xdr:col>34</xdr:col>
      <xdr:colOff>381000</xdr:colOff>
      <xdr:row>53</xdr:row>
      <xdr:rowOff>95250</xdr:rowOff>
    </xdr:to>
    <xdr:graphicFrame>
      <xdr:nvGraphicFramePr>
        <xdr:cNvPr id="1" name="Chart 1"/>
        <xdr:cNvGraphicFramePr/>
      </xdr:nvGraphicFramePr>
      <xdr:xfrm>
        <a:off x="12877800" y="2095500"/>
        <a:ext cx="10877550" cy="1271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0.0345</cdr:x>
      <cdr:y>0.01575</cdr:y>
    </cdr:from>
    <cdr:to>
      <cdr:x>0.79725</cdr:x>
      <cdr:y>0.105</cdr:y>
    </cdr:to>
    <cdr:sp>
      <cdr:nvSpPr>
        <cdr:cNvPr id="1" name="TextBox 2"/>
        <cdr:cNvSpPr txBox="1">
          <a:spLocks noChangeArrowheads="1"/>
        </cdr:cNvSpPr>
      </cdr:nvSpPr>
      <cdr:spPr>
        <a:xfrm>
          <a:off x="428625" y="219075"/>
          <a:ext cx="9620250" cy="1257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Berlin Sans FB Demi"/>
              <a:ea typeface="Berlin Sans FB Demi"/>
              <a:cs typeface="Berlin Sans FB Demi"/>
            </a:rPr>
            <a:t>Grafik Faktor K Bendung Kontrol Point
</a:t>
          </a:r>
          <a:r>
            <a:rPr lang="en-US" cap="none" sz="1800" b="1" i="0" u="none" baseline="0">
              <a:solidFill>
                <a:srgbClr val="000000"/>
              </a:solidFill>
              <a:latin typeface="Berlin Sans FB Demi"/>
              <a:ea typeface="Berlin Sans FB Demi"/>
              <a:cs typeface="Berlin Sans FB Demi"/>
            </a:rPr>
            <a:t>Balai PSDA Pemali Comal, Jratun dan Seluna
</a:t>
          </a:r>
          <a:r>
            <a:rPr lang="en-US" cap="none" sz="1800" b="1" i="0" u="none" baseline="0">
              <a:solidFill>
                <a:srgbClr val="000000"/>
              </a:solidFill>
              <a:latin typeface="Berlin Sans FB Demi"/>
              <a:ea typeface="Berlin Sans FB Demi"/>
              <a:cs typeface="Berlin Sans FB Demi"/>
            </a:rPr>
            <a:t>Periode  Minggu  I</a:t>
          </a:r>
          <a:r>
            <a:rPr lang="en-US" cap="none" sz="1800" b="1" i="0" u="none" baseline="0">
              <a:solidFill>
                <a:srgbClr val="000000"/>
              </a:solidFill>
              <a:latin typeface="Berlin Sans FB Demi"/>
              <a:ea typeface="Berlin Sans FB Demi"/>
              <a:cs typeface="Berlin Sans FB Demi"/>
            </a:rPr>
            <a:t>  </a:t>
          </a:r>
          <a:r>
            <a:rPr lang="en-US" cap="none" sz="1800" b="1" i="0" u="none" baseline="0">
              <a:solidFill>
                <a:srgbClr val="000000"/>
              </a:solidFill>
              <a:latin typeface="Berlin Sans FB Demi"/>
              <a:ea typeface="Berlin Sans FB Demi"/>
              <a:cs typeface="Berlin Sans FB Demi"/>
            </a:rPr>
            <a:t>( tanggal   07</a:t>
          </a:r>
          <a:r>
            <a:rPr lang="en-US" cap="none" sz="1800" b="1" i="0" u="none" baseline="0">
              <a:solidFill>
                <a:srgbClr val="000000"/>
              </a:solidFill>
              <a:latin typeface="Berlin Sans FB Demi"/>
              <a:ea typeface="Berlin Sans FB Demi"/>
              <a:cs typeface="Berlin Sans FB Demi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Berlin Sans FB Demi"/>
              <a:ea typeface="Berlin Sans FB Demi"/>
              <a:cs typeface="Berlin Sans FB Demi"/>
            </a:rPr>
            <a:t> s/d   </a:t>
          </a:r>
          <a:r>
            <a:rPr lang="en-US" cap="none" sz="1800" b="1" i="0" u="none" baseline="0">
              <a:solidFill>
                <a:srgbClr val="000000"/>
              </a:solidFill>
              <a:latin typeface="Berlin Sans FB Demi"/>
              <a:ea typeface="Berlin Sans FB Demi"/>
              <a:cs typeface="Berlin Sans FB Demi"/>
            </a:rPr>
            <a:t> 13</a:t>
          </a:r>
          <a:r>
            <a:rPr lang="en-US" cap="none" sz="1800" b="1" i="0" u="none" baseline="0">
              <a:solidFill>
                <a:srgbClr val="000000"/>
              </a:solidFill>
              <a:latin typeface="Berlin Sans FB Demi"/>
              <a:ea typeface="Berlin Sans FB Demi"/>
              <a:cs typeface="Berlin Sans FB Demi"/>
            </a:rPr>
            <a:t>   Juni   2010 )
</a:t>
          </a:r>
        </a:p>
      </cdr:txBody>
    </cdr:sp>
  </cdr:relSizeAnchor>
  <cdr:relSizeAnchor xmlns:cdr="http://schemas.openxmlformats.org/drawingml/2006/chartDrawing">
    <cdr:from>
      <cdr:x>-0.00275</cdr:x>
      <cdr:y>-0.00375</cdr:y>
    </cdr:from>
    <cdr:to>
      <cdr:x>-0.00125</cdr:x>
      <cdr:y>-0.003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28574" y="-47624"/>
          <a:ext cx="19050" cy="95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-0.00275</cdr:x>
      <cdr:y>-0.003</cdr:y>
    </cdr:from>
    <cdr:to>
      <cdr:x>-0.00125</cdr:x>
      <cdr:y>-0.00225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28574" y="-38099"/>
          <a:ext cx="19050" cy="95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409575</xdr:colOff>
      <xdr:row>5</xdr:row>
      <xdr:rowOff>190500</xdr:rowOff>
    </xdr:from>
    <xdr:to>
      <xdr:col>37</xdr:col>
      <xdr:colOff>219075</xdr:colOff>
      <xdr:row>56</xdr:row>
      <xdr:rowOff>19050</xdr:rowOff>
    </xdr:to>
    <xdr:graphicFrame>
      <xdr:nvGraphicFramePr>
        <xdr:cNvPr id="1" name="Chart 1"/>
        <xdr:cNvGraphicFramePr/>
      </xdr:nvGraphicFramePr>
      <xdr:xfrm>
        <a:off x="14478000" y="1676400"/>
        <a:ext cx="12611100" cy="1410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428625</xdr:colOff>
      <xdr:row>5</xdr:row>
      <xdr:rowOff>190500</xdr:rowOff>
    </xdr:from>
    <xdr:to>
      <xdr:col>37</xdr:col>
      <xdr:colOff>228600</xdr:colOff>
      <xdr:row>56</xdr:row>
      <xdr:rowOff>19050</xdr:rowOff>
    </xdr:to>
    <xdr:graphicFrame>
      <xdr:nvGraphicFramePr>
        <xdr:cNvPr id="2" name="Chart 1"/>
        <xdr:cNvGraphicFramePr/>
      </xdr:nvGraphicFramePr>
      <xdr:xfrm>
        <a:off x="14497050" y="1676400"/>
        <a:ext cx="12601575" cy="1410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57</xdr:col>
      <xdr:colOff>190500</xdr:colOff>
      <xdr:row>0</xdr:row>
      <xdr:rowOff>47625</xdr:rowOff>
    </xdr:from>
    <xdr:to>
      <xdr:col>61</xdr:col>
      <xdr:colOff>0</xdr:colOff>
      <xdr:row>4</xdr:row>
      <xdr:rowOff>19050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41005125" y="47625"/>
          <a:ext cx="2409825" cy="1171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KEPADA  YTH 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1. KA BID SUNGAI, WADUK DAN PANTAI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2. KA BID IRIGASI &amp; AIR BAKU  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DINAS PSDA PROVINSI JAWA TENGAH</a:t>
          </a:r>
        </a:p>
      </xdr:txBody>
    </xdr:sp>
    <xdr:clientData/>
  </xdr:twoCellAnchor>
  <xdr:twoCellAnchor>
    <xdr:from>
      <xdr:col>57</xdr:col>
      <xdr:colOff>190500</xdr:colOff>
      <xdr:row>0</xdr:row>
      <xdr:rowOff>47625</xdr:rowOff>
    </xdr:from>
    <xdr:to>
      <xdr:col>61</xdr:col>
      <xdr:colOff>0</xdr:colOff>
      <xdr:row>4</xdr:row>
      <xdr:rowOff>19050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41005125" y="47625"/>
          <a:ext cx="2409825" cy="1171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KEPADA  YTH 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1. KA BID SUNGAI, WADUK DAN PANTAI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2. KA BID IRIGASI &amp; AIR BAKU  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DINAS PSDA PROVINSI JAWA TENGAH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Kantor\LOCALS~1\Temp\Rar$DI00.000\Kontrol%20poin%20Bendung%20MGGU%20ke%204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og"/>
      <sheetName val="Pusat"/>
      <sheetName val="Propins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15"/>
  <sheetViews>
    <sheetView tabSelected="1" zoomScalePageLayoutView="0" workbookViewId="0" topLeftCell="A4">
      <selection activeCell="G15" sqref="G15"/>
    </sheetView>
  </sheetViews>
  <sheetFormatPr defaultColWidth="9.140625" defaultRowHeight="12.75"/>
  <cols>
    <col min="2" max="2" width="19.28125" style="0" customWidth="1"/>
    <col min="3" max="3" width="10.8515625" style="0" customWidth="1"/>
    <col min="4" max="4" width="15.57421875" style="0" customWidth="1"/>
    <col min="5" max="5" width="15.140625" style="0" customWidth="1"/>
    <col min="6" max="6" width="14.00390625" style="0" customWidth="1"/>
    <col min="7" max="7" width="14.28125" style="0" customWidth="1"/>
    <col min="8" max="8" width="14.8515625" style="0" customWidth="1"/>
    <col min="9" max="9" width="13.8515625" style="0" customWidth="1"/>
    <col min="10" max="10" width="16.8515625" style="0" customWidth="1"/>
    <col min="11" max="11" width="0.2890625" style="0" customWidth="1"/>
  </cols>
  <sheetData>
    <row r="3" spans="2:12" ht="24.75">
      <c r="B3" s="497" t="s">
        <v>165</v>
      </c>
      <c r="C3" s="497"/>
      <c r="D3" s="497"/>
      <c r="E3" s="497"/>
      <c r="F3" s="497"/>
      <c r="G3" s="497"/>
      <c r="H3" s="497"/>
      <c r="I3" s="497"/>
      <c r="J3" s="497"/>
      <c r="K3" s="497"/>
      <c r="L3" s="497"/>
    </row>
    <row r="4" spans="2:12" ht="24.75">
      <c r="B4" s="497" t="s">
        <v>433</v>
      </c>
      <c r="C4" s="497"/>
      <c r="D4" s="497"/>
      <c r="E4" s="497"/>
      <c r="F4" s="497"/>
      <c r="G4" s="497"/>
      <c r="H4" s="497"/>
      <c r="I4" s="497"/>
      <c r="J4" s="497"/>
      <c r="K4" s="497"/>
      <c r="L4" s="497"/>
    </row>
    <row r="5" spans="2:12" ht="21.75">
      <c r="B5" s="498"/>
      <c r="C5" s="498"/>
      <c r="D5" s="498"/>
      <c r="E5" s="498"/>
      <c r="F5" s="498"/>
      <c r="G5" s="498"/>
      <c r="H5" s="498"/>
      <c r="I5" s="498"/>
      <c r="J5" s="498"/>
      <c r="K5" s="498"/>
      <c r="L5" s="498"/>
    </row>
    <row r="6" ht="13.5" thickBot="1"/>
    <row r="7" spans="2:10" ht="22.5" customHeight="1" thickBot="1">
      <c r="B7" s="499" t="s">
        <v>432</v>
      </c>
      <c r="C7" s="500"/>
      <c r="D7" s="35" t="s">
        <v>51</v>
      </c>
      <c r="E7" s="35" t="s">
        <v>57</v>
      </c>
      <c r="F7" s="505" t="s">
        <v>54</v>
      </c>
      <c r="G7" s="506"/>
      <c r="H7" s="490" t="s">
        <v>57</v>
      </c>
      <c r="I7" s="489" t="s">
        <v>57</v>
      </c>
      <c r="J7" s="491"/>
    </row>
    <row r="8" spans="2:10" ht="22.5" customHeight="1">
      <c r="B8" s="501"/>
      <c r="C8" s="502"/>
      <c r="D8" s="33" t="s">
        <v>52</v>
      </c>
      <c r="E8" s="33" t="s">
        <v>62</v>
      </c>
      <c r="F8" s="34" t="s">
        <v>55</v>
      </c>
      <c r="G8" s="35" t="s">
        <v>56</v>
      </c>
      <c r="H8" s="2" t="s">
        <v>58</v>
      </c>
      <c r="I8" s="85" t="s">
        <v>59</v>
      </c>
      <c r="J8" s="492" t="s">
        <v>160</v>
      </c>
    </row>
    <row r="9" spans="2:10" ht="22.5" customHeight="1" thickBot="1">
      <c r="B9" s="503"/>
      <c r="C9" s="504"/>
      <c r="D9" s="33" t="s">
        <v>53</v>
      </c>
      <c r="E9" s="33" t="s">
        <v>98</v>
      </c>
      <c r="F9" s="36" t="s">
        <v>99</v>
      </c>
      <c r="G9" s="33" t="s">
        <v>98</v>
      </c>
      <c r="H9" s="3" t="s">
        <v>98</v>
      </c>
      <c r="I9" s="3" t="s">
        <v>98</v>
      </c>
      <c r="J9" s="492" t="s">
        <v>161</v>
      </c>
    </row>
    <row r="10" spans="2:11" ht="22.5" customHeight="1" thickBot="1" thickTop="1">
      <c r="B10" s="507" t="s">
        <v>434</v>
      </c>
      <c r="C10" s="508"/>
      <c r="D10" s="92">
        <v>238150</v>
      </c>
      <c r="E10" s="99">
        <v>45.52</v>
      </c>
      <c r="F10" s="99">
        <v>39.93</v>
      </c>
      <c r="G10" s="99">
        <v>41.05</v>
      </c>
      <c r="H10" s="99">
        <v>103.76</v>
      </c>
      <c r="I10" s="100">
        <v>97.66</v>
      </c>
      <c r="J10" s="440">
        <v>1</v>
      </c>
      <c r="K10" s="78"/>
    </row>
    <row r="11" spans="2:11" ht="22.5" customHeight="1" thickBot="1">
      <c r="B11" s="509" t="s">
        <v>435</v>
      </c>
      <c r="C11" s="504"/>
      <c r="D11" s="93">
        <v>247745</v>
      </c>
      <c r="E11" s="101">
        <v>27.6</v>
      </c>
      <c r="F11" s="101">
        <v>35.55</v>
      </c>
      <c r="G11" s="101">
        <v>62.9</v>
      </c>
      <c r="H11" s="101">
        <v>125.52</v>
      </c>
      <c r="I11" s="102">
        <v>100.19</v>
      </c>
      <c r="J11" s="441">
        <v>1</v>
      </c>
      <c r="K11" s="78"/>
    </row>
    <row r="12" spans="2:11" ht="22.5" customHeight="1" thickBot="1">
      <c r="B12" s="507" t="s">
        <v>436</v>
      </c>
      <c r="C12" s="508"/>
      <c r="D12" s="93">
        <v>353856</v>
      </c>
      <c r="E12" s="103">
        <v>791.96</v>
      </c>
      <c r="F12" s="101">
        <v>101.79</v>
      </c>
      <c r="G12" s="101">
        <v>136.11</v>
      </c>
      <c r="H12" s="101">
        <v>1026.85</v>
      </c>
      <c r="I12" s="102">
        <v>218.99</v>
      </c>
      <c r="J12" s="441">
        <v>1</v>
      </c>
      <c r="K12" s="78"/>
    </row>
    <row r="13" spans="2:11" ht="22.5" customHeight="1" thickBot="1">
      <c r="B13" s="507" t="s">
        <v>437</v>
      </c>
      <c r="C13" s="508"/>
      <c r="D13" s="93">
        <v>354280</v>
      </c>
      <c r="E13" s="101">
        <v>111.4</v>
      </c>
      <c r="F13" s="101">
        <v>61.72</v>
      </c>
      <c r="G13" s="101">
        <v>81.11</v>
      </c>
      <c r="H13" s="101">
        <v>253.03</v>
      </c>
      <c r="I13" s="102">
        <v>181.15</v>
      </c>
      <c r="J13" s="441">
        <v>1</v>
      </c>
      <c r="K13" s="78"/>
    </row>
    <row r="14" spans="2:11" ht="22.5" customHeight="1" thickBot="1">
      <c r="B14" s="507" t="s">
        <v>438</v>
      </c>
      <c r="C14" s="508"/>
      <c r="D14" s="93">
        <v>350714</v>
      </c>
      <c r="E14" s="101">
        <v>41.9</v>
      </c>
      <c r="F14" s="101">
        <v>85.8</v>
      </c>
      <c r="G14" s="101">
        <v>70.28</v>
      </c>
      <c r="H14" s="101">
        <v>197.98</v>
      </c>
      <c r="I14" s="102">
        <v>187.32</v>
      </c>
      <c r="J14" s="441">
        <v>1</v>
      </c>
      <c r="K14" s="78"/>
    </row>
    <row r="15" spans="2:11" ht="22.5" customHeight="1" thickBot="1">
      <c r="B15" s="509" t="s">
        <v>439</v>
      </c>
      <c r="C15" s="504"/>
      <c r="D15" s="93">
        <v>339342</v>
      </c>
      <c r="E15" s="101">
        <f>'REKAP PROP'!E16</f>
        <v>1610.5674</v>
      </c>
      <c r="F15" s="101">
        <f>'REKAP PROP'!F16</f>
        <v>215.7618</v>
      </c>
      <c r="G15" s="101">
        <f>'REKAP PROP'!G16</f>
        <v>150.13400000000001</v>
      </c>
      <c r="H15" s="101">
        <f>'REKAP PROP'!H16</f>
        <v>1978.0382</v>
      </c>
      <c r="I15" s="102">
        <f>'REKAP PROP'!I16</f>
        <v>369.50100000000003</v>
      </c>
      <c r="J15" s="493">
        <v>1</v>
      </c>
      <c r="K15" s="78"/>
    </row>
  </sheetData>
  <sheetProtection/>
  <mergeCells count="11">
    <mergeCell ref="B11:C11"/>
    <mergeCell ref="B12:C12"/>
    <mergeCell ref="B13:C13"/>
    <mergeCell ref="B14:C14"/>
    <mergeCell ref="B15:C15"/>
    <mergeCell ref="B3:L3"/>
    <mergeCell ref="B4:L4"/>
    <mergeCell ref="B5:L5"/>
    <mergeCell ref="B7:C9"/>
    <mergeCell ref="F7:G7"/>
    <mergeCell ref="B10:C10"/>
  </mergeCells>
  <printOptions horizontalCentered="1"/>
  <pageMargins left="0.75" right="0.75" top="2.14" bottom="1" header="0.5" footer="0.5"/>
  <pageSetup horizontalDpi="300" verticalDpi="3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L16"/>
  <sheetViews>
    <sheetView zoomScalePageLayoutView="0" workbookViewId="0" topLeftCell="A7">
      <selection activeCell="H15" sqref="H15"/>
    </sheetView>
  </sheetViews>
  <sheetFormatPr defaultColWidth="9.140625" defaultRowHeight="12.75"/>
  <cols>
    <col min="2" max="2" width="19.28125" style="0" customWidth="1"/>
    <col min="3" max="3" width="10.8515625" style="0" customWidth="1"/>
    <col min="4" max="4" width="15.57421875" style="0" customWidth="1"/>
    <col min="5" max="5" width="15.140625" style="0" customWidth="1"/>
    <col min="6" max="6" width="14.00390625" style="0" customWidth="1"/>
    <col min="7" max="7" width="14.28125" style="0" customWidth="1"/>
    <col min="8" max="8" width="14.8515625" style="0" customWidth="1"/>
    <col min="9" max="9" width="13.8515625" style="0" customWidth="1"/>
    <col min="10" max="10" width="16.8515625" style="0" customWidth="1"/>
    <col min="11" max="11" width="0.2890625" style="0" customWidth="1"/>
  </cols>
  <sheetData>
    <row r="3" spans="2:12" ht="24.75">
      <c r="B3" s="497" t="s">
        <v>165</v>
      </c>
      <c r="C3" s="497"/>
      <c r="D3" s="497"/>
      <c r="E3" s="497"/>
      <c r="F3" s="497"/>
      <c r="G3" s="497"/>
      <c r="H3" s="497"/>
      <c r="I3" s="497"/>
      <c r="J3" s="497"/>
      <c r="K3" s="497"/>
      <c r="L3" s="497"/>
    </row>
    <row r="4" spans="2:12" ht="24.75">
      <c r="B4" s="497" t="s">
        <v>164</v>
      </c>
      <c r="C4" s="497"/>
      <c r="D4" s="497"/>
      <c r="E4" s="497"/>
      <c r="F4" s="497"/>
      <c r="G4" s="497"/>
      <c r="H4" s="497"/>
      <c r="I4" s="497"/>
      <c r="J4" s="497"/>
      <c r="K4" s="497"/>
      <c r="L4" s="497"/>
    </row>
    <row r="5" spans="2:12" ht="21.75">
      <c r="B5" s="498" t="str">
        <f>+'BENG.SOLO'!A4</f>
        <v>MINGGU   ke  V ( Tgl. 23 April  s/d  29 April 2013 )  </v>
      </c>
      <c r="C5" s="498"/>
      <c r="D5" s="498"/>
      <c r="E5" s="498"/>
      <c r="F5" s="498"/>
      <c r="G5" s="498"/>
      <c r="H5" s="498"/>
      <c r="I5" s="498"/>
      <c r="J5" s="498"/>
      <c r="K5" s="498"/>
      <c r="L5" s="498"/>
    </row>
    <row r="6" ht="13.5" thickBot="1"/>
    <row r="7" spans="2:10" ht="22.5" customHeight="1" thickBot="1" thickTop="1">
      <c r="B7" s="499" t="s">
        <v>163</v>
      </c>
      <c r="C7" s="500"/>
      <c r="D7" s="32" t="s">
        <v>51</v>
      </c>
      <c r="E7" s="32" t="s">
        <v>57</v>
      </c>
      <c r="F7" s="513" t="s">
        <v>54</v>
      </c>
      <c r="G7" s="514"/>
      <c r="H7" s="25" t="s">
        <v>57</v>
      </c>
      <c r="I7" s="83" t="s">
        <v>57</v>
      </c>
      <c r="J7" s="90"/>
    </row>
    <row r="8" spans="2:10" ht="22.5" customHeight="1">
      <c r="B8" s="501"/>
      <c r="C8" s="502"/>
      <c r="D8" s="33" t="s">
        <v>52</v>
      </c>
      <c r="E8" s="33" t="s">
        <v>62</v>
      </c>
      <c r="F8" s="34" t="s">
        <v>55</v>
      </c>
      <c r="G8" s="35" t="s">
        <v>56</v>
      </c>
      <c r="H8" s="2" t="s">
        <v>58</v>
      </c>
      <c r="I8" s="85" t="s">
        <v>59</v>
      </c>
      <c r="J8" s="91" t="s">
        <v>160</v>
      </c>
    </row>
    <row r="9" spans="2:10" ht="22.5" customHeight="1" thickBot="1">
      <c r="B9" s="503"/>
      <c r="C9" s="504"/>
      <c r="D9" s="33" t="s">
        <v>53</v>
      </c>
      <c r="E9" s="33" t="s">
        <v>98</v>
      </c>
      <c r="F9" s="36" t="s">
        <v>99</v>
      </c>
      <c r="G9" s="33" t="s">
        <v>98</v>
      </c>
      <c r="H9" s="3" t="s">
        <v>98</v>
      </c>
      <c r="I9" s="3" t="s">
        <v>98</v>
      </c>
      <c r="J9" s="91" t="s">
        <v>161</v>
      </c>
    </row>
    <row r="10" spans="2:11" ht="22.5" customHeight="1" thickBot="1" thickTop="1">
      <c r="B10" s="507" t="s">
        <v>74</v>
      </c>
      <c r="C10" s="508"/>
      <c r="D10" s="92">
        <f>+'PC-JT-SL'!F42</f>
        <v>55144.16499999999</v>
      </c>
      <c r="E10" s="99">
        <f>+'PC-JT-SL'!G42</f>
        <v>307.205</v>
      </c>
      <c r="F10" s="99">
        <f>+'PC-JT-SL'!H42</f>
        <v>49.675</v>
      </c>
      <c r="G10" s="99">
        <f>+'PC-JT-SL'!I42</f>
        <v>58.75899999999999</v>
      </c>
      <c r="H10" s="99">
        <f>+'PC-JT-SL'!J42</f>
        <v>415.639</v>
      </c>
      <c r="I10" s="100">
        <f>+'PC-JT-SL'!K42</f>
        <v>108.25600000000001</v>
      </c>
      <c r="J10" s="440">
        <v>1</v>
      </c>
      <c r="K10" s="78"/>
    </row>
    <row r="11" spans="2:11" ht="22.5" customHeight="1" thickBot="1">
      <c r="B11" s="509" t="s">
        <v>166</v>
      </c>
      <c r="C11" s="504"/>
      <c r="D11" s="93">
        <f>+'PC-JT-SL'!F55</f>
        <v>43824.06</v>
      </c>
      <c r="E11" s="101">
        <f>+'PC-JT-SL'!G55</f>
        <v>136.7454</v>
      </c>
      <c r="F11" s="101">
        <f>+'PC-JT-SL'!H55</f>
        <v>41.538000000000004</v>
      </c>
      <c r="G11" s="101">
        <f>+'PC-JT-SL'!I55</f>
        <v>16.727999999999998</v>
      </c>
      <c r="H11" s="101">
        <f>+'PC-JT-SL'!J55</f>
        <v>195.01139999999998</v>
      </c>
      <c r="I11" s="102">
        <f>+'PC-JT-SL'!K55</f>
        <v>49.18700000000001</v>
      </c>
      <c r="J11" s="441">
        <v>1</v>
      </c>
      <c r="K11" s="78"/>
    </row>
    <row r="12" spans="2:11" ht="22.5" customHeight="1" thickBot="1">
      <c r="B12" s="507" t="s">
        <v>145</v>
      </c>
      <c r="C12" s="508"/>
      <c r="D12" s="93">
        <f>+'PC-JT-SL'!F71</f>
        <v>80163</v>
      </c>
      <c r="E12" s="103">
        <f>+'PC-JT-SL'!G71</f>
        <v>209.41500000000002</v>
      </c>
      <c r="F12" s="101">
        <f>+'PC-JT-SL'!H71</f>
        <v>15.683</v>
      </c>
      <c r="G12" s="101">
        <f>+'PC-JT-SL'!I71</f>
        <v>38.355000000000004</v>
      </c>
      <c r="H12" s="101">
        <f>+'PC-JT-SL'!J71</f>
        <v>263.45300000000003</v>
      </c>
      <c r="I12" s="102">
        <f>+'PC-JT-SL'!K71</f>
        <v>69.842</v>
      </c>
      <c r="J12" s="441">
        <v>1</v>
      </c>
      <c r="K12" s="78"/>
    </row>
    <row r="13" spans="2:11" ht="22.5" customHeight="1" thickBot="1">
      <c r="B13" s="507" t="s">
        <v>80</v>
      </c>
      <c r="C13" s="508"/>
      <c r="D13" s="93">
        <f>+'BENG.SOLO'!F55</f>
        <v>46831.5</v>
      </c>
      <c r="E13" s="101">
        <f>+'BENG.SOLO'!G55</f>
        <v>42.794000000000004</v>
      </c>
      <c r="F13" s="101">
        <f>+'BENG.SOLO'!H55</f>
        <v>27.349800000000005</v>
      </c>
      <c r="G13" s="101">
        <f>+'BENG.SOLO'!I55</f>
        <v>15.539</v>
      </c>
      <c r="H13" s="101">
        <f>+'BENG.SOLO'!J55</f>
        <v>87.25779999999999</v>
      </c>
      <c r="I13" s="102">
        <f>+'BENG.SOLO'!K55</f>
        <v>36.22199999999999</v>
      </c>
      <c r="J13" s="441">
        <v>1</v>
      </c>
      <c r="K13" s="78"/>
    </row>
    <row r="14" spans="2:11" ht="22.5" customHeight="1" thickBot="1">
      <c r="B14" s="507" t="s">
        <v>82</v>
      </c>
      <c r="C14" s="508"/>
      <c r="D14" s="93">
        <f>+'PROB-SCIT'!F50</f>
        <v>51572</v>
      </c>
      <c r="E14" s="101">
        <f>+'PROB-SCIT'!G50</f>
        <v>47.407</v>
      </c>
      <c r="F14" s="101">
        <f>+'PROB-SCIT'!H50</f>
        <v>29.882</v>
      </c>
      <c r="G14" s="101">
        <f>+'PROB-SCIT'!I50</f>
        <v>9.317</v>
      </c>
      <c r="H14" s="101">
        <f>+'PROB-SCIT'!J50</f>
        <v>86.606</v>
      </c>
      <c r="I14" s="102">
        <f>+'PROB-SCIT'!K50</f>
        <v>33.033</v>
      </c>
      <c r="J14" s="441">
        <v>1</v>
      </c>
      <c r="K14" s="78"/>
    </row>
    <row r="15" spans="2:11" ht="22.5" customHeight="1" thickBot="1">
      <c r="B15" s="512" t="s">
        <v>84</v>
      </c>
      <c r="C15" s="502"/>
      <c r="D15" s="486">
        <f>+'PROB-SCIT'!F49</f>
        <v>61807.751</v>
      </c>
      <c r="E15" s="487">
        <f>+'PROB-SCIT'!G49</f>
        <v>867.001</v>
      </c>
      <c r="F15" s="487">
        <f>+'PROB-SCIT'!H49</f>
        <v>51.63399999999999</v>
      </c>
      <c r="G15" s="487">
        <f>+'PROB-SCIT'!I49</f>
        <v>11.436</v>
      </c>
      <c r="H15" s="487">
        <f>+'PROB-SCIT'!J49</f>
        <v>930.0709999999999</v>
      </c>
      <c r="I15" s="488">
        <f>+'PROB-SCIT'!K49</f>
        <v>72.961</v>
      </c>
      <c r="J15" s="441">
        <v>1</v>
      </c>
      <c r="K15" s="78"/>
    </row>
    <row r="16" spans="2:10" ht="28.5" customHeight="1" thickBot="1">
      <c r="B16" s="510" t="s">
        <v>431</v>
      </c>
      <c r="C16" s="511"/>
      <c r="D16" s="495">
        <f aca="true" t="shared" si="0" ref="D16:I16">SUM(D10:D15)</f>
        <v>339342.47599999997</v>
      </c>
      <c r="E16" s="495">
        <f t="shared" si="0"/>
        <v>1610.5674</v>
      </c>
      <c r="F16" s="495">
        <f t="shared" si="0"/>
        <v>215.7618</v>
      </c>
      <c r="G16" s="495">
        <f t="shared" si="0"/>
        <v>150.13400000000001</v>
      </c>
      <c r="H16" s="495">
        <f t="shared" si="0"/>
        <v>1978.0382</v>
      </c>
      <c r="I16" s="495">
        <f t="shared" si="0"/>
        <v>369.50100000000003</v>
      </c>
      <c r="J16" s="496"/>
    </row>
  </sheetData>
  <sheetProtection/>
  <mergeCells count="12">
    <mergeCell ref="B13:C13"/>
    <mergeCell ref="B7:C9"/>
    <mergeCell ref="B5:L5"/>
    <mergeCell ref="B3:L3"/>
    <mergeCell ref="B4:L4"/>
    <mergeCell ref="B14:C14"/>
    <mergeCell ref="B16:C16"/>
    <mergeCell ref="B15:C15"/>
    <mergeCell ref="F7:G7"/>
    <mergeCell ref="B10:C10"/>
    <mergeCell ref="B11:C11"/>
    <mergeCell ref="B12:C12"/>
  </mergeCells>
  <printOptions horizontalCentered="1"/>
  <pageMargins left="0.75" right="0.75" top="2.14" bottom="1" header="0.5" footer="0.5"/>
  <pageSetup horizontalDpi="300" verticalDpi="300" orientation="portrait" paperSize="9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O69"/>
  <sheetViews>
    <sheetView zoomScale="150" zoomScaleNormal="150" zoomScalePageLayoutView="0" workbookViewId="0" topLeftCell="A7">
      <pane xSplit="9765" ySplit="1455" topLeftCell="G48" activePane="bottomRight" state="split"/>
      <selection pane="topLeft" activeCell="A7" sqref="A7"/>
      <selection pane="topRight" activeCell="G7" sqref="G7"/>
      <selection pane="bottomLeft" activeCell="A9" sqref="A9"/>
      <selection pane="bottomRight" activeCell="I55" sqref="I55"/>
    </sheetView>
  </sheetViews>
  <sheetFormatPr defaultColWidth="9.140625" defaultRowHeight="12.75"/>
  <cols>
    <col min="1" max="1" width="4.7109375" style="0" customWidth="1"/>
    <col min="2" max="2" width="15.140625" style="0" customWidth="1"/>
    <col min="3" max="3" width="0.71875" style="0" customWidth="1"/>
    <col min="4" max="4" width="13.8515625" style="0" customWidth="1"/>
    <col min="5" max="5" width="12.28125" style="0" customWidth="1"/>
    <col min="6" max="6" width="11.28125" style="0" customWidth="1"/>
    <col min="7" max="7" width="9.421875" style="0" customWidth="1"/>
    <col min="8" max="8" width="9.00390625" style="0" customWidth="1"/>
    <col min="9" max="9" width="9.140625" style="0" customWidth="1"/>
    <col min="10" max="10" width="10.421875" style="0" customWidth="1"/>
    <col min="11" max="11" width="11.421875" style="0" customWidth="1"/>
    <col min="12" max="12" width="8.57421875" style="0" customWidth="1"/>
    <col min="13" max="13" width="11.8515625" style="0" customWidth="1"/>
    <col min="14" max="14" width="13.421875" style="0" customWidth="1"/>
    <col min="15" max="15" width="12.57421875" style="0" customWidth="1"/>
    <col min="16" max="16" width="11.140625" style="0" customWidth="1"/>
    <col min="17" max="18" width="11.57421875" style="0" customWidth="1"/>
    <col min="19" max="19" width="15.57421875" style="0" customWidth="1"/>
    <col min="39" max="39" width="17.57421875" style="0" customWidth="1"/>
    <col min="40" max="40" width="12.7109375" style="0" customWidth="1"/>
    <col min="41" max="41" width="13.421875" style="0" customWidth="1"/>
  </cols>
  <sheetData>
    <row r="2" spans="1:19" ht="22.5">
      <c r="A2" s="519" t="s">
        <v>254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"/>
      <c r="N2" s="51"/>
      <c r="O2" s="51"/>
      <c r="P2" s="51"/>
      <c r="Q2" s="51"/>
      <c r="R2" s="51"/>
      <c r="S2" s="51"/>
    </row>
    <row r="3" spans="1:19" ht="22.5">
      <c r="A3" s="519" t="s">
        <v>140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"/>
      <c r="N3" s="51"/>
      <c r="O3" s="51"/>
      <c r="P3" s="51"/>
      <c r="Q3" s="51"/>
      <c r="R3" s="51"/>
      <c r="S3" s="51"/>
    </row>
    <row r="4" spans="1:19" ht="22.5">
      <c r="A4" s="519" t="str">
        <f>+'PC-JT-SL'!A5:L5</f>
        <v>MINGGU   ke  V ( Tgl. 23 April  s/d  29 April 2013 )  </v>
      </c>
      <c r="B4" s="519"/>
      <c r="C4" s="519"/>
      <c r="D4" s="519"/>
      <c r="E4" s="519"/>
      <c r="F4" s="519"/>
      <c r="G4" s="519"/>
      <c r="H4" s="519"/>
      <c r="I4" s="519"/>
      <c r="J4" s="519"/>
      <c r="K4" s="519"/>
      <c r="L4" s="519"/>
      <c r="M4" s="51"/>
      <c r="N4" s="51"/>
      <c r="O4" s="51"/>
      <c r="P4" s="51"/>
      <c r="Q4" s="51"/>
      <c r="R4" s="51"/>
      <c r="S4" s="51"/>
    </row>
    <row r="5" spans="1:19" ht="15.75" thickBot="1">
      <c r="A5" s="1" t="s">
        <v>72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26" ht="17.25" customHeight="1" thickBot="1" thickTop="1">
      <c r="A6" s="520" t="s">
        <v>0</v>
      </c>
      <c r="B6" s="530" t="s">
        <v>337</v>
      </c>
      <c r="C6" s="531"/>
      <c r="D6" s="522" t="s">
        <v>4</v>
      </c>
      <c r="E6" s="402"/>
      <c r="F6" s="144" t="s">
        <v>51</v>
      </c>
      <c r="G6" s="146" t="s">
        <v>57</v>
      </c>
      <c r="H6" s="524" t="s">
        <v>54</v>
      </c>
      <c r="I6" s="525"/>
      <c r="J6" s="150" t="s">
        <v>57</v>
      </c>
      <c r="K6" s="152" t="s">
        <v>57</v>
      </c>
      <c r="L6" s="155" t="s">
        <v>60</v>
      </c>
      <c r="M6" s="516" t="s">
        <v>178</v>
      </c>
      <c r="N6" s="138"/>
      <c r="O6" s="191"/>
      <c r="P6" s="55"/>
      <c r="Q6" s="55"/>
      <c r="R6" s="55"/>
      <c r="S6" s="55"/>
      <c r="Z6" s="229"/>
    </row>
    <row r="7" spans="1:19" ht="15.75" customHeight="1">
      <c r="A7" s="521"/>
      <c r="B7" s="532"/>
      <c r="C7" s="533"/>
      <c r="D7" s="523"/>
      <c r="E7" s="403" t="s">
        <v>329</v>
      </c>
      <c r="F7" s="145" t="s">
        <v>52</v>
      </c>
      <c r="G7" s="147" t="s">
        <v>62</v>
      </c>
      <c r="H7" s="148" t="s">
        <v>55</v>
      </c>
      <c r="I7" s="149" t="s">
        <v>56</v>
      </c>
      <c r="J7" s="151" t="s">
        <v>58</v>
      </c>
      <c r="K7" s="153" t="s">
        <v>338</v>
      </c>
      <c r="L7" s="536" t="s">
        <v>61</v>
      </c>
      <c r="M7" s="517"/>
      <c r="N7" s="139" t="s">
        <v>179</v>
      </c>
      <c r="O7" s="192"/>
      <c r="P7" s="55"/>
      <c r="Q7" s="55"/>
      <c r="R7" s="55"/>
      <c r="S7" s="55"/>
    </row>
    <row r="8" spans="1:19" ht="19.5" thickBot="1">
      <c r="A8" s="521"/>
      <c r="B8" s="534"/>
      <c r="C8" s="535"/>
      <c r="D8" s="523"/>
      <c r="E8" s="404"/>
      <c r="F8" s="145" t="s">
        <v>53</v>
      </c>
      <c r="G8" s="158" t="s">
        <v>98</v>
      </c>
      <c r="H8" s="159" t="s">
        <v>98</v>
      </c>
      <c r="I8" s="160" t="s">
        <v>98</v>
      </c>
      <c r="J8" s="156" t="s">
        <v>98</v>
      </c>
      <c r="K8" s="157" t="s">
        <v>98</v>
      </c>
      <c r="L8" s="537"/>
      <c r="M8" s="518"/>
      <c r="N8" s="140"/>
      <c r="O8" s="193"/>
      <c r="P8" s="55"/>
      <c r="Q8" s="55"/>
      <c r="R8" s="55"/>
      <c r="S8" s="55"/>
    </row>
    <row r="9" spans="1:19" ht="16.5" thickBot="1">
      <c r="A9" s="161">
        <v>1</v>
      </c>
      <c r="B9" s="162">
        <v>2</v>
      </c>
      <c r="C9" s="163"/>
      <c r="D9" s="164">
        <v>3</v>
      </c>
      <c r="E9" s="164"/>
      <c r="F9" s="164">
        <v>4</v>
      </c>
      <c r="G9" s="164">
        <v>5</v>
      </c>
      <c r="H9" s="164">
        <v>6</v>
      </c>
      <c r="I9" s="164">
        <v>7</v>
      </c>
      <c r="J9" s="164" t="s">
        <v>64</v>
      </c>
      <c r="K9" s="164">
        <v>9</v>
      </c>
      <c r="L9" s="165">
        <v>10</v>
      </c>
      <c r="M9" s="125"/>
      <c r="N9" s="131"/>
      <c r="O9" s="55"/>
      <c r="P9" s="55"/>
      <c r="Q9" s="55"/>
      <c r="R9" s="55"/>
      <c r="S9" s="55"/>
    </row>
    <row r="10" spans="1:41" ht="19.5" thickBot="1" thickTop="1">
      <c r="A10" s="194" t="s">
        <v>79</v>
      </c>
      <c r="B10" s="528" t="s">
        <v>80</v>
      </c>
      <c r="C10" s="529"/>
      <c r="D10" s="529"/>
      <c r="E10" s="411"/>
      <c r="F10" s="195"/>
      <c r="G10" s="196"/>
      <c r="H10" s="197"/>
      <c r="I10" s="197"/>
      <c r="J10" s="198"/>
      <c r="K10" s="198"/>
      <c r="L10" s="199"/>
      <c r="M10" s="126"/>
      <c r="N10" s="132"/>
      <c r="O10" s="56"/>
      <c r="P10" s="56"/>
      <c r="Q10" s="56"/>
      <c r="R10" s="56"/>
      <c r="S10" s="56"/>
      <c r="AN10" s="45" t="s">
        <v>113</v>
      </c>
      <c r="AO10" s="45" t="s">
        <v>114</v>
      </c>
    </row>
    <row r="11" spans="1:41" ht="27" customHeight="1" thickTop="1">
      <c r="A11" s="292">
        <v>1</v>
      </c>
      <c r="B11" s="437" t="s">
        <v>143</v>
      </c>
      <c r="C11" s="292"/>
      <c r="D11" s="469" t="s">
        <v>137</v>
      </c>
      <c r="E11" s="432" t="s">
        <v>383</v>
      </c>
      <c r="F11" s="200">
        <f>3030+7484+1888+439+1903+9717</f>
        <v>24461</v>
      </c>
      <c r="G11" s="201">
        <v>5.6</v>
      </c>
      <c r="H11" s="201">
        <v>18.09</v>
      </c>
      <c r="I11" s="201">
        <v>5.12</v>
      </c>
      <c r="J11" s="201">
        <f>I11+H11+G11</f>
        <v>28.810000000000002</v>
      </c>
      <c r="K11" s="202">
        <v>23</v>
      </c>
      <c r="L11" s="289">
        <f>IF(K11=0,0,(IF(J11/K11&gt;1,1,J11/K11)))</f>
        <v>1</v>
      </c>
      <c r="M11" s="127"/>
      <c r="N11" s="133"/>
      <c r="O11" s="142"/>
      <c r="P11" s="105" t="s">
        <v>168</v>
      </c>
      <c r="Q11" s="106" t="s">
        <v>38</v>
      </c>
      <c r="R11" s="110">
        <v>10514</v>
      </c>
      <c r="S11" s="68">
        <f>+J11/K11</f>
        <v>1.252608695652174</v>
      </c>
      <c r="AM11" s="45" t="s">
        <v>38</v>
      </c>
      <c r="AN11" s="46">
        <v>3030</v>
      </c>
      <c r="AO11" s="46">
        <v>7484</v>
      </c>
    </row>
    <row r="12" spans="1:41" ht="15.75">
      <c r="A12" s="294">
        <v>2</v>
      </c>
      <c r="B12" s="293" t="s">
        <v>29</v>
      </c>
      <c r="C12" s="294"/>
      <c r="D12" s="295" t="s">
        <v>30</v>
      </c>
      <c r="E12" s="433" t="s">
        <v>384</v>
      </c>
      <c r="F12" s="203">
        <v>650</v>
      </c>
      <c r="G12" s="201">
        <v>5.003</v>
      </c>
      <c r="H12" s="201">
        <v>0.838</v>
      </c>
      <c r="I12" s="201">
        <v>0</v>
      </c>
      <c r="J12" s="201">
        <f>G12+H12+I12</f>
        <v>5.841</v>
      </c>
      <c r="K12" s="230">
        <v>0.456</v>
      </c>
      <c r="L12" s="289">
        <f aca="true" t="shared" si="0" ref="L12:L55">IF(K12=0,0,(IF(J12/K12&gt;1,1,J12/K12)))</f>
        <v>1</v>
      </c>
      <c r="M12" s="128">
        <f>+K12*0.1+K12</f>
        <v>0.5016</v>
      </c>
      <c r="N12" s="133"/>
      <c r="O12" s="104"/>
      <c r="P12" s="104"/>
      <c r="Q12" s="106" t="s">
        <v>29</v>
      </c>
      <c r="R12" s="110">
        <v>1888</v>
      </c>
      <c r="S12" s="68">
        <f aca="true" t="shared" si="1" ref="S12:S55">+J12/K12</f>
        <v>12.80921052631579</v>
      </c>
      <c r="T12" s="1"/>
      <c r="AM12" s="5" t="s">
        <v>141</v>
      </c>
      <c r="AN12" s="58">
        <f>SUM(AN11:AN11)</f>
        <v>3030</v>
      </c>
      <c r="AO12" s="14">
        <f>SUM(AO11:AO11)</f>
        <v>7484</v>
      </c>
    </row>
    <row r="13" spans="1:41" ht="15.75">
      <c r="A13" s="294">
        <v>3</v>
      </c>
      <c r="B13" s="293" t="s">
        <v>29</v>
      </c>
      <c r="C13" s="294"/>
      <c r="D13" s="295" t="s">
        <v>100</v>
      </c>
      <c r="E13" s="433" t="s">
        <v>385</v>
      </c>
      <c r="F13" s="203">
        <v>1191</v>
      </c>
      <c r="G13" s="201">
        <v>0.422</v>
      </c>
      <c r="H13" s="201">
        <v>1.1</v>
      </c>
      <c r="I13" s="204">
        <v>0</v>
      </c>
      <c r="J13" s="201">
        <f aca="true" t="shared" si="2" ref="J13:J54">G13+H13+I13</f>
        <v>1.522</v>
      </c>
      <c r="K13" s="230">
        <v>0.79</v>
      </c>
      <c r="L13" s="289">
        <f t="shared" si="0"/>
        <v>1</v>
      </c>
      <c r="M13" s="128"/>
      <c r="N13" s="133"/>
      <c r="O13" s="104"/>
      <c r="P13" s="104"/>
      <c r="Q13" s="106" t="s">
        <v>1</v>
      </c>
      <c r="R13" s="110">
        <v>439</v>
      </c>
      <c r="S13" s="68">
        <f t="shared" si="1"/>
        <v>1.9265822784810125</v>
      </c>
      <c r="T13" s="1"/>
      <c r="AM13" s="5" t="s">
        <v>142</v>
      </c>
      <c r="AN13" s="58"/>
      <c r="AO13" s="14">
        <f>+AO12+AN12</f>
        <v>10514</v>
      </c>
    </row>
    <row r="14" spans="1:41" ht="15.75">
      <c r="A14" s="294">
        <f aca="true" t="shared" si="3" ref="A14:A54">+A13+1</f>
        <v>4</v>
      </c>
      <c r="B14" s="293" t="s">
        <v>29</v>
      </c>
      <c r="C14" s="294"/>
      <c r="D14" s="295" t="s">
        <v>101</v>
      </c>
      <c r="E14" s="433" t="s">
        <v>386</v>
      </c>
      <c r="F14" s="203">
        <v>1100</v>
      </c>
      <c r="G14" s="201">
        <v>2.033</v>
      </c>
      <c r="H14" s="201">
        <v>0.886</v>
      </c>
      <c r="I14" s="201">
        <v>0</v>
      </c>
      <c r="J14" s="201">
        <f t="shared" si="2"/>
        <v>2.919</v>
      </c>
      <c r="K14" s="230">
        <v>0.88</v>
      </c>
      <c r="L14" s="289">
        <f t="shared" si="0"/>
        <v>1</v>
      </c>
      <c r="M14" s="128"/>
      <c r="N14" s="133"/>
      <c r="O14" s="104"/>
      <c r="P14" s="68"/>
      <c r="Q14" s="108" t="s">
        <v>169</v>
      </c>
      <c r="R14" s="110">
        <v>1903</v>
      </c>
      <c r="S14" s="68">
        <f t="shared" si="1"/>
        <v>3.3170454545454544</v>
      </c>
      <c r="T14" s="1"/>
      <c r="AM14" s="48"/>
      <c r="AN14" s="65"/>
      <c r="AO14" s="64"/>
    </row>
    <row r="15" spans="1:41" ht="15.75">
      <c r="A15" s="294">
        <f t="shared" si="3"/>
        <v>5</v>
      </c>
      <c r="B15" s="293" t="s">
        <v>33</v>
      </c>
      <c r="C15" s="294"/>
      <c r="D15" s="295" t="s">
        <v>39</v>
      </c>
      <c r="E15" s="433" t="s">
        <v>387</v>
      </c>
      <c r="F15" s="203">
        <v>550</v>
      </c>
      <c r="G15" s="201">
        <v>0.365</v>
      </c>
      <c r="H15" s="201">
        <v>0.196</v>
      </c>
      <c r="I15" s="201">
        <v>0.164</v>
      </c>
      <c r="J15" s="201">
        <f t="shared" si="2"/>
        <v>0.725</v>
      </c>
      <c r="K15" s="230">
        <v>0.4</v>
      </c>
      <c r="L15" s="289">
        <f t="shared" si="0"/>
        <v>1</v>
      </c>
      <c r="M15" s="128">
        <f>+K15*0.1+K15</f>
        <v>0.44000000000000006</v>
      </c>
      <c r="N15" s="133">
        <f>+I15</f>
        <v>0.164</v>
      </c>
      <c r="O15" s="104"/>
      <c r="P15" s="104"/>
      <c r="Q15" s="106" t="s">
        <v>33</v>
      </c>
      <c r="R15" s="110">
        <v>9717</v>
      </c>
      <c r="S15" s="68">
        <f t="shared" si="1"/>
        <v>1.8124999999999998</v>
      </c>
      <c r="T15" s="1"/>
      <c r="AM15" s="48"/>
      <c r="AN15" s="65"/>
      <c r="AO15" s="64"/>
    </row>
    <row r="16" spans="1:41" ht="15.75">
      <c r="A16" s="294">
        <f t="shared" si="3"/>
        <v>6</v>
      </c>
      <c r="B16" s="293" t="s">
        <v>1</v>
      </c>
      <c r="C16" s="294"/>
      <c r="D16" s="295" t="s">
        <v>28</v>
      </c>
      <c r="E16" s="433" t="s">
        <v>388</v>
      </c>
      <c r="F16" s="203">
        <v>637</v>
      </c>
      <c r="G16" s="201">
        <v>0</v>
      </c>
      <c r="H16" s="205">
        <v>0</v>
      </c>
      <c r="I16" s="201">
        <v>0.814</v>
      </c>
      <c r="J16" s="201">
        <f t="shared" si="2"/>
        <v>0.814</v>
      </c>
      <c r="K16" s="230">
        <v>0.075</v>
      </c>
      <c r="L16" s="289">
        <f t="shared" si="0"/>
        <v>1</v>
      </c>
      <c r="M16" s="128"/>
      <c r="N16" s="133"/>
      <c r="O16" s="104"/>
      <c r="P16" s="104"/>
      <c r="Q16" s="107"/>
      <c r="R16" s="109">
        <f>SUM(R11:R15)</f>
        <v>24461</v>
      </c>
      <c r="S16" s="68">
        <f t="shared" si="1"/>
        <v>10.853333333333333</v>
      </c>
      <c r="T16" s="1"/>
      <c r="AM16" s="48"/>
      <c r="AN16" s="65"/>
      <c r="AO16" s="64"/>
    </row>
    <row r="17" spans="1:20" ht="15.75">
      <c r="A17" s="294">
        <f t="shared" si="3"/>
        <v>7</v>
      </c>
      <c r="B17" s="293" t="s">
        <v>29</v>
      </c>
      <c r="C17" s="294"/>
      <c r="D17" s="295" t="s">
        <v>102</v>
      </c>
      <c r="E17" s="433" t="s">
        <v>389</v>
      </c>
      <c r="F17" s="203">
        <v>325</v>
      </c>
      <c r="G17" s="201">
        <v>0.445</v>
      </c>
      <c r="H17" s="201">
        <v>0.229</v>
      </c>
      <c r="I17" s="204">
        <v>0</v>
      </c>
      <c r="J17" s="201">
        <f t="shared" si="2"/>
        <v>0.674</v>
      </c>
      <c r="K17" s="230">
        <v>0.09</v>
      </c>
      <c r="L17" s="289">
        <f t="shared" si="0"/>
        <v>1</v>
      </c>
      <c r="M17" s="129"/>
      <c r="N17" s="134"/>
      <c r="O17" s="124"/>
      <c r="P17" s="515" t="s">
        <v>114</v>
      </c>
      <c r="Q17" s="515"/>
      <c r="R17" s="109">
        <f>+R13+R14+R15+R11</f>
        <v>22573</v>
      </c>
      <c r="S17" s="68">
        <f t="shared" si="1"/>
        <v>7.48888888888889</v>
      </c>
      <c r="T17" s="1"/>
    </row>
    <row r="18" spans="1:20" ht="15.75">
      <c r="A18" s="294">
        <f t="shared" si="3"/>
        <v>8</v>
      </c>
      <c r="B18" s="293" t="s">
        <v>38</v>
      </c>
      <c r="C18" s="294"/>
      <c r="D18" s="295" t="s">
        <v>103</v>
      </c>
      <c r="E18" s="433" t="s">
        <v>387</v>
      </c>
      <c r="F18" s="203">
        <v>51</v>
      </c>
      <c r="G18" s="201">
        <v>0.7</v>
      </c>
      <c r="H18" s="201">
        <v>0.05</v>
      </c>
      <c r="I18" s="204">
        <v>0</v>
      </c>
      <c r="J18" s="201">
        <f t="shared" si="2"/>
        <v>0.75</v>
      </c>
      <c r="K18" s="230">
        <v>0.05</v>
      </c>
      <c r="L18" s="289">
        <f t="shared" si="0"/>
        <v>1</v>
      </c>
      <c r="M18" s="128"/>
      <c r="N18" s="133"/>
      <c r="O18" s="104"/>
      <c r="P18" s="515" t="s">
        <v>113</v>
      </c>
      <c r="Q18" s="515"/>
      <c r="R18" s="109">
        <f>+R12</f>
        <v>1888</v>
      </c>
      <c r="S18" s="68">
        <f t="shared" si="1"/>
        <v>15</v>
      </c>
      <c r="T18" s="1"/>
    </row>
    <row r="19" spans="1:20" ht="15.75">
      <c r="A19" s="294">
        <f t="shared" si="3"/>
        <v>9</v>
      </c>
      <c r="B19" s="293" t="s">
        <v>31</v>
      </c>
      <c r="C19" s="294"/>
      <c r="D19" s="295" t="s">
        <v>104</v>
      </c>
      <c r="E19" s="433" t="s">
        <v>390</v>
      </c>
      <c r="F19" s="203">
        <v>786</v>
      </c>
      <c r="G19" s="201">
        <v>0</v>
      </c>
      <c r="H19" s="201">
        <v>0</v>
      </c>
      <c r="I19" s="201">
        <v>0.647</v>
      </c>
      <c r="J19" s="201">
        <f t="shared" si="2"/>
        <v>0.647</v>
      </c>
      <c r="K19" s="230">
        <v>0.15</v>
      </c>
      <c r="L19" s="289">
        <f t="shared" si="0"/>
        <v>1</v>
      </c>
      <c r="M19" s="128"/>
      <c r="N19" s="133"/>
      <c r="O19" s="104"/>
      <c r="P19" s="104"/>
      <c r="Q19" s="104"/>
      <c r="R19" s="112" t="s">
        <v>2</v>
      </c>
      <c r="S19" s="68">
        <f t="shared" si="1"/>
        <v>4.3133333333333335</v>
      </c>
      <c r="T19" s="1"/>
    </row>
    <row r="20" spans="1:20" ht="15.75">
      <c r="A20" s="294">
        <f t="shared" si="3"/>
        <v>10</v>
      </c>
      <c r="B20" s="293" t="s">
        <v>31</v>
      </c>
      <c r="C20" s="294"/>
      <c r="D20" s="295" t="s">
        <v>122</v>
      </c>
      <c r="E20" s="433" t="s">
        <v>391</v>
      </c>
      <c r="F20" s="203">
        <v>168</v>
      </c>
      <c r="G20" s="201">
        <v>0</v>
      </c>
      <c r="H20" s="201">
        <v>0.0998</v>
      </c>
      <c r="I20" s="201">
        <v>0</v>
      </c>
      <c r="J20" s="201">
        <f t="shared" si="2"/>
        <v>0.0998</v>
      </c>
      <c r="K20" s="230">
        <v>0.095</v>
      </c>
      <c r="L20" s="289">
        <f t="shared" si="0"/>
        <v>1</v>
      </c>
      <c r="M20" s="128"/>
      <c r="N20" s="133"/>
      <c r="O20" s="104"/>
      <c r="P20" s="104"/>
      <c r="Q20" s="104"/>
      <c r="R20" s="68"/>
      <c r="S20" s="68">
        <f t="shared" si="1"/>
        <v>1.0505263157894738</v>
      </c>
      <c r="T20" s="1"/>
    </row>
    <row r="21" spans="1:20" ht="15.75">
      <c r="A21" s="294">
        <f t="shared" si="3"/>
        <v>11</v>
      </c>
      <c r="B21" s="293" t="s">
        <v>31</v>
      </c>
      <c r="C21" s="294"/>
      <c r="D21" s="295" t="s">
        <v>123</v>
      </c>
      <c r="E21" s="433" t="s">
        <v>392</v>
      </c>
      <c r="F21" s="203">
        <v>156</v>
      </c>
      <c r="G21" s="201">
        <v>0</v>
      </c>
      <c r="H21" s="201">
        <v>0.099</v>
      </c>
      <c r="I21" s="201">
        <v>0.013</v>
      </c>
      <c r="J21" s="201">
        <f t="shared" si="2"/>
        <v>0.112</v>
      </c>
      <c r="K21" s="230">
        <v>0.04</v>
      </c>
      <c r="L21" s="289">
        <f t="shared" si="0"/>
        <v>1</v>
      </c>
      <c r="M21" s="128"/>
      <c r="N21" s="133"/>
      <c r="O21" s="104"/>
      <c r="P21" s="104"/>
      <c r="Q21" s="104"/>
      <c r="R21" s="57"/>
      <c r="S21" s="68">
        <f t="shared" si="1"/>
        <v>2.8</v>
      </c>
      <c r="T21" s="1"/>
    </row>
    <row r="22" spans="1:20" ht="15.75">
      <c r="A22" s="294">
        <f t="shared" si="3"/>
        <v>12</v>
      </c>
      <c r="B22" s="293" t="s">
        <v>31</v>
      </c>
      <c r="C22" s="294"/>
      <c r="D22" s="295" t="s">
        <v>124</v>
      </c>
      <c r="E22" s="433" t="s">
        <v>389</v>
      </c>
      <c r="F22" s="203">
        <v>192</v>
      </c>
      <c r="G22" s="201">
        <v>0</v>
      </c>
      <c r="H22" s="201">
        <v>0</v>
      </c>
      <c r="I22" s="201">
        <v>0.268</v>
      </c>
      <c r="J22" s="201">
        <f t="shared" si="2"/>
        <v>0.268</v>
      </c>
      <c r="K22" s="230">
        <v>0.09</v>
      </c>
      <c r="L22" s="289">
        <f t="shared" si="0"/>
        <v>1</v>
      </c>
      <c r="M22" s="128"/>
      <c r="N22" s="133"/>
      <c r="O22" s="104"/>
      <c r="P22" s="104"/>
      <c r="Q22" s="104"/>
      <c r="R22" s="57"/>
      <c r="S22" s="68"/>
      <c r="T22" s="1"/>
    </row>
    <row r="23" spans="1:20" ht="15.75">
      <c r="A23" s="294">
        <f t="shared" si="3"/>
        <v>13</v>
      </c>
      <c r="B23" s="293" t="s">
        <v>31</v>
      </c>
      <c r="C23" s="294"/>
      <c r="D23" s="295" t="s">
        <v>125</v>
      </c>
      <c r="E23" s="433" t="s">
        <v>389</v>
      </c>
      <c r="F23" s="203">
        <v>348</v>
      </c>
      <c r="G23" s="201">
        <v>0</v>
      </c>
      <c r="H23" s="201">
        <v>0</v>
      </c>
      <c r="I23" s="206">
        <v>0.294</v>
      </c>
      <c r="J23" s="201">
        <f t="shared" si="2"/>
        <v>0.294</v>
      </c>
      <c r="K23" s="230">
        <v>0.156</v>
      </c>
      <c r="L23" s="289">
        <f>IF(K23=0,0,(IF(J23/K23&gt;1,1,J23/K23)))</f>
        <v>1</v>
      </c>
      <c r="M23" s="128">
        <f>+K23*0.1+K23</f>
        <v>0.1716</v>
      </c>
      <c r="N23" s="133">
        <f>+I23</f>
        <v>0.294</v>
      </c>
      <c r="O23" s="104"/>
      <c r="P23" s="273"/>
      <c r="Q23" s="68"/>
      <c r="R23" s="57"/>
      <c r="S23" s="68">
        <f t="shared" si="1"/>
        <v>1.8846153846153846</v>
      </c>
      <c r="T23" s="1"/>
    </row>
    <row r="24" spans="1:20" ht="15.75">
      <c r="A24" s="294">
        <f t="shared" si="3"/>
        <v>14</v>
      </c>
      <c r="B24" s="293" t="s">
        <v>31</v>
      </c>
      <c r="C24" s="294"/>
      <c r="D24" s="296" t="s">
        <v>126</v>
      </c>
      <c r="E24" s="433" t="s">
        <v>393</v>
      </c>
      <c r="F24" s="203">
        <v>417</v>
      </c>
      <c r="G24" s="201">
        <v>0</v>
      </c>
      <c r="H24" s="201">
        <v>0.231</v>
      </c>
      <c r="I24" s="201">
        <v>0</v>
      </c>
      <c r="J24" s="201">
        <f t="shared" si="2"/>
        <v>0.231</v>
      </c>
      <c r="K24" s="230">
        <v>0.22</v>
      </c>
      <c r="L24" s="289">
        <f t="shared" si="0"/>
        <v>1</v>
      </c>
      <c r="M24" s="128">
        <f>+K24*0.1+K24</f>
        <v>0.242</v>
      </c>
      <c r="N24" s="133">
        <f>+H24</f>
        <v>0.231</v>
      </c>
      <c r="O24" s="104"/>
      <c r="P24" s="104"/>
      <c r="Q24" s="104"/>
      <c r="R24" s="57"/>
      <c r="S24" s="68">
        <f t="shared" si="1"/>
        <v>1.05</v>
      </c>
      <c r="T24" s="1"/>
    </row>
    <row r="25" spans="1:20" ht="15.75">
      <c r="A25" s="294">
        <f t="shared" si="3"/>
        <v>15</v>
      </c>
      <c r="B25" s="293" t="s">
        <v>12</v>
      </c>
      <c r="C25" s="294"/>
      <c r="D25" s="295" t="s">
        <v>35</v>
      </c>
      <c r="E25" s="433" t="s">
        <v>372</v>
      </c>
      <c r="F25" s="203">
        <v>653</v>
      </c>
      <c r="G25" s="201">
        <v>1.752</v>
      </c>
      <c r="H25" s="206">
        <v>0.944</v>
      </c>
      <c r="I25" s="201">
        <v>0</v>
      </c>
      <c r="J25" s="201">
        <f t="shared" si="2"/>
        <v>2.6959999999999997</v>
      </c>
      <c r="K25" s="230">
        <v>0.65</v>
      </c>
      <c r="L25" s="289">
        <f t="shared" si="0"/>
        <v>1</v>
      </c>
      <c r="M25" s="128">
        <f>+K25*0.1+K25</f>
        <v>0.7150000000000001</v>
      </c>
      <c r="N25" s="133">
        <f>+I25</f>
        <v>0</v>
      </c>
      <c r="O25" s="104"/>
      <c r="P25" s="104"/>
      <c r="Q25" s="104"/>
      <c r="R25" s="57"/>
      <c r="S25" s="68">
        <f t="shared" si="1"/>
        <v>4.147692307692307</v>
      </c>
      <c r="T25" s="1"/>
    </row>
    <row r="26" spans="1:20" ht="15.75">
      <c r="A26" s="294">
        <f t="shared" si="3"/>
        <v>16</v>
      </c>
      <c r="B26" s="293" t="s">
        <v>33</v>
      </c>
      <c r="C26" s="294"/>
      <c r="D26" s="295" t="s">
        <v>115</v>
      </c>
      <c r="E26" s="433" t="s">
        <v>394</v>
      </c>
      <c r="F26" s="203">
        <v>2814</v>
      </c>
      <c r="G26" s="201">
        <v>0.4</v>
      </c>
      <c r="H26" s="201">
        <v>0</v>
      </c>
      <c r="I26" s="201">
        <v>0.125</v>
      </c>
      <c r="J26" s="201">
        <v>2.1</v>
      </c>
      <c r="K26" s="230">
        <v>2.1</v>
      </c>
      <c r="L26" s="289">
        <f t="shared" si="0"/>
        <v>1</v>
      </c>
      <c r="M26" s="128">
        <f>+K26*0.1+K26</f>
        <v>2.31</v>
      </c>
      <c r="N26" s="133">
        <f>+H26</f>
        <v>0</v>
      </c>
      <c r="O26" s="104"/>
      <c r="P26" s="68"/>
      <c r="Q26" s="68"/>
      <c r="R26" s="57"/>
      <c r="S26" s="68">
        <f t="shared" si="1"/>
        <v>1</v>
      </c>
      <c r="T26" s="1"/>
    </row>
    <row r="27" spans="1:20" ht="15.75">
      <c r="A27" s="294">
        <f t="shared" si="3"/>
        <v>17</v>
      </c>
      <c r="B27" s="293" t="s">
        <v>32</v>
      </c>
      <c r="C27" s="294"/>
      <c r="D27" s="295" t="s">
        <v>185</v>
      </c>
      <c r="E27" s="433" t="s">
        <v>394</v>
      </c>
      <c r="F27" s="203">
        <v>706</v>
      </c>
      <c r="G27" s="201">
        <v>0.764</v>
      </c>
      <c r="H27" s="201">
        <v>0.519</v>
      </c>
      <c r="I27" s="201">
        <v>0</v>
      </c>
      <c r="J27" s="201">
        <f t="shared" si="2"/>
        <v>1.283</v>
      </c>
      <c r="K27" s="230">
        <v>0.5</v>
      </c>
      <c r="L27" s="289">
        <f t="shared" si="0"/>
        <v>1</v>
      </c>
      <c r="M27" s="286"/>
      <c r="N27" s="287"/>
      <c r="O27" s="124"/>
      <c r="P27" s="104"/>
      <c r="Q27" s="104"/>
      <c r="R27" s="57"/>
      <c r="S27" s="68">
        <f t="shared" si="1"/>
        <v>2.566</v>
      </c>
      <c r="T27" s="1"/>
    </row>
    <row r="28" spans="1:20" ht="15.75">
      <c r="A28" s="294">
        <f t="shared" si="3"/>
        <v>18</v>
      </c>
      <c r="B28" s="293" t="s">
        <v>12</v>
      </c>
      <c r="C28" s="294"/>
      <c r="D28" s="295" t="s">
        <v>116</v>
      </c>
      <c r="E28" s="433" t="s">
        <v>394</v>
      </c>
      <c r="F28" s="203">
        <v>472</v>
      </c>
      <c r="G28" s="201">
        <v>0.202</v>
      </c>
      <c r="H28" s="201">
        <v>0</v>
      </c>
      <c r="I28" s="201">
        <v>0.465</v>
      </c>
      <c r="J28" s="201">
        <f t="shared" si="2"/>
        <v>0.667</v>
      </c>
      <c r="K28" s="230">
        <v>0.3</v>
      </c>
      <c r="L28" s="289">
        <f t="shared" si="0"/>
        <v>1</v>
      </c>
      <c r="M28" s="128"/>
      <c r="N28" s="133"/>
      <c r="O28" s="104"/>
      <c r="P28" s="104"/>
      <c r="Q28" s="104"/>
      <c r="R28" s="57"/>
      <c r="S28" s="68">
        <f t="shared" si="1"/>
        <v>2.2233333333333336</v>
      </c>
      <c r="T28" s="1"/>
    </row>
    <row r="29" spans="1:20" ht="15.75">
      <c r="A29" s="294">
        <f t="shared" si="3"/>
        <v>19</v>
      </c>
      <c r="B29" s="293" t="s">
        <v>12</v>
      </c>
      <c r="C29" s="294"/>
      <c r="D29" s="295" t="s">
        <v>117</v>
      </c>
      <c r="E29" s="433" t="s">
        <v>394</v>
      </c>
      <c r="F29" s="203">
        <v>210</v>
      </c>
      <c r="G29" s="201">
        <v>0.4</v>
      </c>
      <c r="H29" s="206">
        <v>0.125</v>
      </c>
      <c r="I29" s="201">
        <v>0</v>
      </c>
      <c r="J29" s="201">
        <f t="shared" si="2"/>
        <v>0.525</v>
      </c>
      <c r="K29" s="230">
        <v>0.11</v>
      </c>
      <c r="L29" s="289">
        <f t="shared" si="0"/>
        <v>1</v>
      </c>
      <c r="M29" s="128">
        <f aca="true" t="shared" si="4" ref="M29:M48">+K29*0.1+K29</f>
        <v>0.121</v>
      </c>
      <c r="N29" s="133">
        <f>+I29</f>
        <v>0</v>
      </c>
      <c r="O29" s="104"/>
      <c r="P29" s="104"/>
      <c r="Q29" s="104"/>
      <c r="R29" s="57"/>
      <c r="S29" s="68">
        <f t="shared" si="1"/>
        <v>4.7727272727272725</v>
      </c>
      <c r="T29" s="1"/>
    </row>
    <row r="30" spans="1:20" ht="15.75">
      <c r="A30" s="294">
        <f t="shared" si="3"/>
        <v>20</v>
      </c>
      <c r="B30" s="293" t="s">
        <v>32</v>
      </c>
      <c r="C30" s="294"/>
      <c r="D30" s="295" t="s">
        <v>172</v>
      </c>
      <c r="E30" s="433" t="s">
        <v>340</v>
      </c>
      <c r="F30" s="203">
        <v>428.5</v>
      </c>
      <c r="G30" s="201">
        <v>0</v>
      </c>
      <c r="H30" s="201">
        <v>0.46</v>
      </c>
      <c r="I30" s="201">
        <v>0</v>
      </c>
      <c r="J30" s="201">
        <f t="shared" si="2"/>
        <v>0.46</v>
      </c>
      <c r="K30" s="230">
        <v>0.2</v>
      </c>
      <c r="L30" s="289">
        <f t="shared" si="0"/>
        <v>1</v>
      </c>
      <c r="M30" s="128">
        <f t="shared" si="4"/>
        <v>0.22000000000000003</v>
      </c>
      <c r="N30" s="133"/>
      <c r="O30" s="104"/>
      <c r="P30" s="104"/>
      <c r="Q30" s="104"/>
      <c r="R30" s="57"/>
      <c r="S30" s="68">
        <f t="shared" si="1"/>
        <v>2.3</v>
      </c>
      <c r="T30" s="1"/>
    </row>
    <row r="31" spans="1:20" ht="15.75">
      <c r="A31" s="294">
        <f t="shared" si="3"/>
        <v>21</v>
      </c>
      <c r="B31" s="293" t="s">
        <v>29</v>
      </c>
      <c r="C31" s="294"/>
      <c r="D31" s="295" t="s">
        <v>138</v>
      </c>
      <c r="E31" s="433" t="s">
        <v>395</v>
      </c>
      <c r="F31" s="203">
        <v>63</v>
      </c>
      <c r="G31" s="201">
        <v>0.446</v>
      </c>
      <c r="H31" s="201">
        <v>0.134</v>
      </c>
      <c r="I31" s="201">
        <v>0.562</v>
      </c>
      <c r="J31" s="201">
        <f t="shared" si="2"/>
        <v>1.1420000000000001</v>
      </c>
      <c r="K31" s="230">
        <v>0.527</v>
      </c>
      <c r="L31" s="289">
        <f>IF(K31=0,0,(IF(J31/K31&gt;1,1,J31/K31)))</f>
        <v>1</v>
      </c>
      <c r="M31" s="128">
        <f t="shared" si="4"/>
        <v>0.5797</v>
      </c>
      <c r="N31" s="133">
        <f>+H31+I31</f>
        <v>0.6960000000000001</v>
      </c>
      <c r="O31" s="104"/>
      <c r="P31" s="68"/>
      <c r="Q31" s="68"/>
      <c r="R31" s="57"/>
      <c r="S31" s="68"/>
      <c r="T31" s="1"/>
    </row>
    <row r="32" spans="1:20" ht="15.75">
      <c r="A32" s="294">
        <f t="shared" si="3"/>
        <v>22</v>
      </c>
      <c r="B32" s="293" t="s">
        <v>29</v>
      </c>
      <c r="C32" s="294"/>
      <c r="D32" s="295" t="s">
        <v>139</v>
      </c>
      <c r="E32" s="433" t="s">
        <v>395</v>
      </c>
      <c r="F32" s="203">
        <v>362</v>
      </c>
      <c r="G32" s="201">
        <v>3.952</v>
      </c>
      <c r="H32" s="201">
        <v>0.149</v>
      </c>
      <c r="I32" s="201">
        <v>0.179</v>
      </c>
      <c r="J32" s="201">
        <f t="shared" si="2"/>
        <v>4.28</v>
      </c>
      <c r="K32" s="230">
        <v>0.362</v>
      </c>
      <c r="L32" s="289">
        <f t="shared" si="0"/>
        <v>1</v>
      </c>
      <c r="M32" s="128">
        <f t="shared" si="4"/>
        <v>0.3982</v>
      </c>
      <c r="N32" s="133">
        <f>+I32</f>
        <v>0.179</v>
      </c>
      <c r="O32" s="104"/>
      <c r="P32" s="104"/>
      <c r="Q32" s="104"/>
      <c r="R32" s="57"/>
      <c r="S32" s="68">
        <f t="shared" si="1"/>
        <v>11.823204419889503</v>
      </c>
      <c r="T32" s="1"/>
    </row>
    <row r="33" spans="1:20" ht="15.75">
      <c r="A33" s="294">
        <f t="shared" si="3"/>
        <v>23</v>
      </c>
      <c r="B33" s="293" t="s">
        <v>32</v>
      </c>
      <c r="C33" s="294"/>
      <c r="D33" s="295" t="s">
        <v>259</v>
      </c>
      <c r="E33" s="433" t="s">
        <v>396</v>
      </c>
      <c r="F33" s="203">
        <v>82</v>
      </c>
      <c r="G33" s="201">
        <v>0.305</v>
      </c>
      <c r="H33" s="201">
        <v>0.12</v>
      </c>
      <c r="I33" s="201">
        <v>0</v>
      </c>
      <c r="J33" s="201">
        <f t="shared" si="2"/>
        <v>0.425</v>
      </c>
      <c r="K33" s="230">
        <v>0.082</v>
      </c>
      <c r="L33" s="289">
        <f t="shared" si="0"/>
        <v>1</v>
      </c>
      <c r="M33" s="128">
        <f t="shared" si="4"/>
        <v>0.0902</v>
      </c>
      <c r="N33" s="133">
        <f>+H33</f>
        <v>0.12</v>
      </c>
      <c r="O33" s="104"/>
      <c r="P33" s="104"/>
      <c r="Q33" s="104"/>
      <c r="R33" s="57"/>
      <c r="S33" s="68">
        <f t="shared" si="1"/>
        <v>5.182926829268292</v>
      </c>
      <c r="T33" s="1"/>
    </row>
    <row r="34" spans="1:20" ht="15.75">
      <c r="A34" s="294">
        <f t="shared" si="3"/>
        <v>24</v>
      </c>
      <c r="B34" s="293" t="s">
        <v>32</v>
      </c>
      <c r="C34" s="294"/>
      <c r="D34" s="295" t="s">
        <v>118</v>
      </c>
      <c r="E34" s="433" t="s">
        <v>397</v>
      </c>
      <c r="F34" s="203">
        <v>179</v>
      </c>
      <c r="G34" s="201">
        <v>0.495</v>
      </c>
      <c r="H34" s="201">
        <v>0</v>
      </c>
      <c r="I34" s="201">
        <v>0.282</v>
      </c>
      <c r="J34" s="201">
        <f t="shared" si="2"/>
        <v>0.7769999999999999</v>
      </c>
      <c r="K34" s="230">
        <v>0.179</v>
      </c>
      <c r="L34" s="289">
        <f t="shared" si="0"/>
        <v>1</v>
      </c>
      <c r="M34" s="128">
        <f t="shared" si="4"/>
        <v>0.1969</v>
      </c>
      <c r="N34" s="133">
        <f>+I34+H34</f>
        <v>0.282</v>
      </c>
      <c r="O34" s="104"/>
      <c r="P34" s="104"/>
      <c r="Q34" s="104"/>
      <c r="R34" s="57"/>
      <c r="S34" s="68">
        <f t="shared" si="1"/>
        <v>4.340782122905027</v>
      </c>
      <c r="T34" s="1"/>
    </row>
    <row r="35" spans="1:20" ht="15.75">
      <c r="A35" s="294">
        <f t="shared" si="3"/>
        <v>25</v>
      </c>
      <c r="B35" s="293" t="s">
        <v>29</v>
      </c>
      <c r="C35" s="294"/>
      <c r="D35" s="295" t="s">
        <v>119</v>
      </c>
      <c r="E35" s="433" t="s">
        <v>395</v>
      </c>
      <c r="F35" s="203">
        <v>629</v>
      </c>
      <c r="G35" s="201">
        <v>4.603</v>
      </c>
      <c r="H35" s="201">
        <v>0.152</v>
      </c>
      <c r="I35" s="201">
        <v>0.308</v>
      </c>
      <c r="J35" s="201">
        <f t="shared" si="2"/>
        <v>5.063</v>
      </c>
      <c r="K35" s="230">
        <v>0.46</v>
      </c>
      <c r="L35" s="289">
        <f t="shared" si="0"/>
        <v>1</v>
      </c>
      <c r="M35" s="128"/>
      <c r="N35" s="133"/>
      <c r="O35" s="104"/>
      <c r="P35" s="104"/>
      <c r="Q35" s="104"/>
      <c r="R35" s="57"/>
      <c r="S35" s="68">
        <f t="shared" si="1"/>
        <v>11.006521739130434</v>
      </c>
      <c r="T35" s="1"/>
    </row>
    <row r="36" spans="1:20" ht="15.75">
      <c r="A36" s="294">
        <f t="shared" si="3"/>
        <v>26</v>
      </c>
      <c r="B36" s="293" t="s">
        <v>32</v>
      </c>
      <c r="C36" s="294"/>
      <c r="D36" s="295" t="s">
        <v>120</v>
      </c>
      <c r="E36" s="433" t="s">
        <v>398</v>
      </c>
      <c r="F36" s="203">
        <v>26</v>
      </c>
      <c r="G36" s="201">
        <v>0.043</v>
      </c>
      <c r="H36" s="201">
        <v>0.032</v>
      </c>
      <c r="I36" s="201">
        <v>0</v>
      </c>
      <c r="J36" s="201">
        <f t="shared" si="2"/>
        <v>0.075</v>
      </c>
      <c r="K36" s="230">
        <v>0.026</v>
      </c>
      <c r="L36" s="289">
        <f t="shared" si="0"/>
        <v>1</v>
      </c>
      <c r="M36" s="128">
        <f t="shared" si="4"/>
        <v>0.0286</v>
      </c>
      <c r="N36" s="133">
        <f>+H36</f>
        <v>0.032</v>
      </c>
      <c r="O36" s="104"/>
      <c r="P36" s="104"/>
      <c r="Q36" s="104"/>
      <c r="R36" s="57"/>
      <c r="S36" s="68"/>
      <c r="T36" s="1"/>
    </row>
    <row r="37" spans="1:20" ht="15.75">
      <c r="A37" s="294">
        <f t="shared" si="3"/>
        <v>27</v>
      </c>
      <c r="B37" s="293" t="s">
        <v>32</v>
      </c>
      <c r="C37" s="294"/>
      <c r="D37" s="295" t="s">
        <v>121</v>
      </c>
      <c r="E37" s="433" t="s">
        <v>399</v>
      </c>
      <c r="F37" s="203">
        <v>66</v>
      </c>
      <c r="G37" s="201">
        <v>2.14</v>
      </c>
      <c r="H37" s="201">
        <v>0</v>
      </c>
      <c r="I37" s="201">
        <v>0</v>
      </c>
      <c r="J37" s="201">
        <f t="shared" si="2"/>
        <v>2.14</v>
      </c>
      <c r="K37" s="230">
        <v>0.262</v>
      </c>
      <c r="L37" s="289">
        <f t="shared" si="0"/>
        <v>1</v>
      </c>
      <c r="M37" s="128">
        <f t="shared" si="4"/>
        <v>0.2882</v>
      </c>
      <c r="N37" s="133">
        <f>+I37</f>
        <v>0</v>
      </c>
      <c r="O37" s="104"/>
      <c r="P37" s="104"/>
      <c r="Q37" s="104"/>
      <c r="R37" s="57"/>
      <c r="S37" s="68"/>
      <c r="T37" s="1"/>
    </row>
    <row r="38" spans="1:20" ht="15.75">
      <c r="A38" s="294">
        <f t="shared" si="3"/>
        <v>28</v>
      </c>
      <c r="B38" s="293" t="s">
        <v>32</v>
      </c>
      <c r="C38" s="294"/>
      <c r="D38" s="295" t="s">
        <v>167</v>
      </c>
      <c r="E38" s="433" t="s">
        <v>400</v>
      </c>
      <c r="F38" s="203">
        <v>301</v>
      </c>
      <c r="G38" s="201">
        <v>0.664</v>
      </c>
      <c r="H38" s="201">
        <v>0.415</v>
      </c>
      <c r="I38" s="201">
        <v>0.231</v>
      </c>
      <c r="J38" s="201">
        <f t="shared" si="2"/>
        <v>1.31</v>
      </c>
      <c r="K38" s="230">
        <v>0.21</v>
      </c>
      <c r="L38" s="289">
        <f>IF(K38=0,0,(IF(J38/K38&gt;1,1,J38/K38)))</f>
        <v>1</v>
      </c>
      <c r="M38" s="128"/>
      <c r="N38" s="133"/>
      <c r="O38" s="104"/>
      <c r="P38" s="104"/>
      <c r="Q38" s="104"/>
      <c r="R38" s="57"/>
      <c r="S38" s="68">
        <f t="shared" si="1"/>
        <v>6.238095238095238</v>
      </c>
      <c r="T38" s="1"/>
    </row>
    <row r="39" spans="1:20" ht="15.75">
      <c r="A39" s="294">
        <f t="shared" si="3"/>
        <v>29</v>
      </c>
      <c r="B39" s="293" t="s">
        <v>31</v>
      </c>
      <c r="C39" s="294"/>
      <c r="D39" s="295" t="s">
        <v>159</v>
      </c>
      <c r="E39" s="433" t="s">
        <v>396</v>
      </c>
      <c r="F39" s="203">
        <v>153</v>
      </c>
      <c r="G39" s="201">
        <v>0</v>
      </c>
      <c r="H39" s="201">
        <v>0.075</v>
      </c>
      <c r="I39" s="201">
        <v>0.151</v>
      </c>
      <c r="J39" s="201">
        <f t="shared" si="2"/>
        <v>0.22599999999999998</v>
      </c>
      <c r="K39" s="230">
        <v>0.153</v>
      </c>
      <c r="L39" s="289">
        <f t="shared" si="0"/>
        <v>1</v>
      </c>
      <c r="M39" s="128">
        <f t="shared" si="4"/>
        <v>0.1683</v>
      </c>
      <c r="N39" s="133">
        <f>+I39+H39</f>
        <v>0.22599999999999998</v>
      </c>
      <c r="O39" s="104"/>
      <c r="P39" s="123"/>
      <c r="Q39" s="104"/>
      <c r="R39" s="57"/>
      <c r="S39" s="68">
        <f t="shared" si="1"/>
        <v>1.4771241830065358</v>
      </c>
      <c r="T39" s="1"/>
    </row>
    <row r="40" spans="1:20" ht="15.75">
      <c r="A40" s="294">
        <f t="shared" si="3"/>
        <v>30</v>
      </c>
      <c r="B40" s="293" t="s">
        <v>32</v>
      </c>
      <c r="C40" s="294"/>
      <c r="D40" s="295" t="s">
        <v>158</v>
      </c>
      <c r="E40" s="433" t="s">
        <v>400</v>
      </c>
      <c r="F40" s="203">
        <v>450</v>
      </c>
      <c r="G40" s="201">
        <v>3.92</v>
      </c>
      <c r="H40" s="201">
        <v>0.48</v>
      </c>
      <c r="I40" s="201"/>
      <c r="J40" s="201">
        <f t="shared" si="2"/>
        <v>4.4</v>
      </c>
      <c r="K40" s="230">
        <v>0.315</v>
      </c>
      <c r="L40" s="289">
        <f t="shared" si="0"/>
        <v>1</v>
      </c>
      <c r="M40" s="128">
        <f t="shared" si="4"/>
        <v>0.34650000000000003</v>
      </c>
      <c r="N40" s="133">
        <f>+I40+H40</f>
        <v>0.48</v>
      </c>
      <c r="O40" s="104"/>
      <c r="P40" s="104"/>
      <c r="Q40" s="104"/>
      <c r="R40" s="57"/>
      <c r="S40" s="68"/>
      <c r="T40" s="1"/>
    </row>
    <row r="41" spans="1:20" ht="15.75">
      <c r="A41" s="294">
        <f t="shared" si="3"/>
        <v>31</v>
      </c>
      <c r="B41" s="293" t="s">
        <v>31</v>
      </c>
      <c r="C41" s="294"/>
      <c r="D41" s="297" t="s">
        <v>181</v>
      </c>
      <c r="E41" s="433" t="s">
        <v>400</v>
      </c>
      <c r="F41" s="203">
        <v>112</v>
      </c>
      <c r="G41" s="201">
        <v>2.506</v>
      </c>
      <c r="H41" s="201">
        <v>0.178</v>
      </c>
      <c r="I41" s="201">
        <v>0</v>
      </c>
      <c r="J41" s="201">
        <f t="shared" si="2"/>
        <v>2.6839999999999997</v>
      </c>
      <c r="K41" s="230">
        <v>0.112</v>
      </c>
      <c r="L41" s="289">
        <f t="shared" si="0"/>
        <v>1</v>
      </c>
      <c r="M41" s="128"/>
      <c r="N41" s="133"/>
      <c r="O41" s="104"/>
      <c r="P41" s="104"/>
      <c r="Q41" s="104"/>
      <c r="R41" s="57"/>
      <c r="S41" s="68"/>
      <c r="T41" s="1"/>
    </row>
    <row r="42" spans="1:20" ht="15.75">
      <c r="A42" s="294">
        <f t="shared" si="3"/>
        <v>32</v>
      </c>
      <c r="B42" s="293" t="s">
        <v>31</v>
      </c>
      <c r="C42" s="294"/>
      <c r="D42" s="295" t="s">
        <v>182</v>
      </c>
      <c r="E42" s="433" t="s">
        <v>400</v>
      </c>
      <c r="F42" s="203">
        <v>137</v>
      </c>
      <c r="G42" s="201">
        <v>0.811</v>
      </c>
      <c r="H42" s="201">
        <v>0.37</v>
      </c>
      <c r="I42" s="201">
        <v>0</v>
      </c>
      <c r="J42" s="201">
        <f t="shared" si="2"/>
        <v>1.181</v>
      </c>
      <c r="K42" s="230">
        <v>0.137</v>
      </c>
      <c r="L42" s="289">
        <f t="shared" si="0"/>
        <v>1</v>
      </c>
      <c r="M42" s="128"/>
      <c r="N42" s="133"/>
      <c r="O42" s="104"/>
      <c r="P42" s="104"/>
      <c r="Q42" s="104"/>
      <c r="R42" s="57"/>
      <c r="S42" s="68"/>
      <c r="T42" s="1"/>
    </row>
    <row r="43" spans="1:20" ht="15.75">
      <c r="A43" s="294">
        <f t="shared" si="3"/>
        <v>33</v>
      </c>
      <c r="B43" s="293" t="s">
        <v>32</v>
      </c>
      <c r="C43" s="294"/>
      <c r="D43" s="295" t="s">
        <v>183</v>
      </c>
      <c r="E43" s="433" t="s">
        <v>401</v>
      </c>
      <c r="F43" s="203">
        <v>82</v>
      </c>
      <c r="G43" s="201">
        <v>0.05</v>
      </c>
      <c r="H43" s="201">
        <v>0.028</v>
      </c>
      <c r="I43" s="201">
        <v>0.079</v>
      </c>
      <c r="J43" s="201">
        <f t="shared" si="2"/>
        <v>0.157</v>
      </c>
      <c r="K43" s="230">
        <v>0.09</v>
      </c>
      <c r="L43" s="289">
        <f t="shared" si="0"/>
        <v>1</v>
      </c>
      <c r="M43" s="128">
        <f t="shared" si="4"/>
        <v>0.09899999999999999</v>
      </c>
      <c r="N43" s="133">
        <f>+H43</f>
        <v>0.028</v>
      </c>
      <c r="O43" s="104"/>
      <c r="P43" s="104"/>
      <c r="Q43" s="104"/>
      <c r="R43" s="57"/>
      <c r="S43" s="68">
        <f t="shared" si="1"/>
        <v>1.7444444444444445</v>
      </c>
      <c r="T43" s="1"/>
    </row>
    <row r="44" spans="1:20" ht="15.75">
      <c r="A44" s="294">
        <f t="shared" si="3"/>
        <v>34</v>
      </c>
      <c r="B44" s="293" t="s">
        <v>260</v>
      </c>
      <c r="C44" s="294"/>
      <c r="D44" s="296" t="s">
        <v>36</v>
      </c>
      <c r="E44" s="433" t="s">
        <v>391</v>
      </c>
      <c r="F44" s="203">
        <v>1896</v>
      </c>
      <c r="G44" s="201">
        <v>1.585</v>
      </c>
      <c r="H44" s="201">
        <v>0.289</v>
      </c>
      <c r="I44" s="201">
        <v>0</v>
      </c>
      <c r="J44" s="201">
        <f t="shared" si="2"/>
        <v>1.8739999999999999</v>
      </c>
      <c r="K44" s="230">
        <v>0.9</v>
      </c>
      <c r="L44" s="289">
        <f t="shared" si="0"/>
        <v>1</v>
      </c>
      <c r="M44" s="128">
        <f t="shared" si="4"/>
        <v>0.99</v>
      </c>
      <c r="N44" s="133">
        <f>+I44</f>
        <v>0</v>
      </c>
      <c r="O44" s="104"/>
      <c r="P44" s="104"/>
      <c r="Q44" s="104"/>
      <c r="R44" s="57"/>
      <c r="S44" s="68">
        <f t="shared" si="1"/>
        <v>2.082222222222222</v>
      </c>
      <c r="T44" s="1"/>
    </row>
    <row r="45" spans="1:20" ht="15.75">
      <c r="A45" s="294">
        <f t="shared" si="3"/>
        <v>35</v>
      </c>
      <c r="B45" s="293" t="s">
        <v>31</v>
      </c>
      <c r="C45" s="294"/>
      <c r="D45" s="295" t="s">
        <v>37</v>
      </c>
      <c r="E45" s="433" t="s">
        <v>402</v>
      </c>
      <c r="F45" s="203">
        <v>525</v>
      </c>
      <c r="G45" s="201">
        <v>0</v>
      </c>
      <c r="H45" s="201">
        <v>0</v>
      </c>
      <c r="I45" s="201">
        <v>1.12</v>
      </c>
      <c r="J45" s="201">
        <f t="shared" si="2"/>
        <v>1.12</v>
      </c>
      <c r="K45" s="230">
        <v>0.3</v>
      </c>
      <c r="L45" s="289">
        <f>IF(K45=0,0,(IF(J45/K45&gt;1,1,J45/K45)))</f>
        <v>1</v>
      </c>
      <c r="M45" s="128">
        <f t="shared" si="4"/>
        <v>0.32999999999999996</v>
      </c>
      <c r="N45" s="133">
        <f>+H45</f>
        <v>0</v>
      </c>
      <c r="O45" s="104"/>
      <c r="P45" s="104"/>
      <c r="Q45" s="104"/>
      <c r="R45" s="57"/>
      <c r="S45" s="68">
        <f t="shared" si="1"/>
        <v>3.733333333333334</v>
      </c>
      <c r="T45" s="1"/>
    </row>
    <row r="46" spans="1:20" ht="15.75">
      <c r="A46" s="294">
        <f t="shared" si="3"/>
        <v>36</v>
      </c>
      <c r="B46" s="293" t="s">
        <v>33</v>
      </c>
      <c r="C46" s="294"/>
      <c r="D46" s="296" t="s">
        <v>34</v>
      </c>
      <c r="E46" s="433" t="s">
        <v>403</v>
      </c>
      <c r="F46" s="203">
        <v>1811</v>
      </c>
      <c r="G46" s="201">
        <v>0</v>
      </c>
      <c r="H46" s="201">
        <v>0</v>
      </c>
      <c r="I46" s="201">
        <v>1.74</v>
      </c>
      <c r="J46" s="201">
        <f t="shared" si="2"/>
        <v>1.74</v>
      </c>
      <c r="K46" s="230">
        <v>0.7</v>
      </c>
      <c r="L46" s="289">
        <f t="shared" si="0"/>
        <v>1</v>
      </c>
      <c r="M46" s="128">
        <f t="shared" si="4"/>
        <v>0.7699999999999999</v>
      </c>
      <c r="N46" s="136"/>
      <c r="O46" s="105"/>
      <c r="P46" s="104"/>
      <c r="Q46" s="104"/>
      <c r="R46" s="57"/>
      <c r="S46" s="68">
        <f t="shared" si="1"/>
        <v>2.4857142857142858</v>
      </c>
      <c r="T46" s="1"/>
    </row>
    <row r="47" spans="1:20" ht="15.75">
      <c r="A47" s="294">
        <f t="shared" si="3"/>
        <v>37</v>
      </c>
      <c r="B47" s="293" t="s">
        <v>31</v>
      </c>
      <c r="C47" s="294"/>
      <c r="D47" s="295" t="s">
        <v>127</v>
      </c>
      <c r="E47" s="433" t="s">
        <v>404</v>
      </c>
      <c r="F47" s="203">
        <v>379</v>
      </c>
      <c r="G47" s="201">
        <v>0.98</v>
      </c>
      <c r="H47" s="201">
        <v>0.281</v>
      </c>
      <c r="I47" s="201">
        <v>0</v>
      </c>
      <c r="J47" s="201">
        <f t="shared" si="2"/>
        <v>1.2610000000000001</v>
      </c>
      <c r="K47" s="230">
        <v>0.266</v>
      </c>
      <c r="L47" s="289">
        <f t="shared" si="0"/>
        <v>1</v>
      </c>
      <c r="M47" s="128">
        <f t="shared" si="4"/>
        <v>0.2926</v>
      </c>
      <c r="N47" s="133">
        <f>+H47</f>
        <v>0.281</v>
      </c>
      <c r="O47" s="104"/>
      <c r="P47" s="104"/>
      <c r="Q47" s="104"/>
      <c r="R47" s="57"/>
      <c r="S47" s="68">
        <f t="shared" si="1"/>
        <v>4.7406015037593985</v>
      </c>
      <c r="T47" s="1"/>
    </row>
    <row r="48" spans="1:20" ht="15.75">
      <c r="A48" s="294">
        <f t="shared" si="3"/>
        <v>38</v>
      </c>
      <c r="B48" s="293" t="s">
        <v>31</v>
      </c>
      <c r="C48" s="294"/>
      <c r="D48" s="298" t="s">
        <v>128</v>
      </c>
      <c r="E48" s="433" t="s">
        <v>404</v>
      </c>
      <c r="F48" s="203">
        <v>215</v>
      </c>
      <c r="G48" s="201">
        <v>1.209</v>
      </c>
      <c r="H48" s="201">
        <v>0.154</v>
      </c>
      <c r="I48" s="201">
        <v>0.179</v>
      </c>
      <c r="J48" s="201">
        <f t="shared" si="2"/>
        <v>1.542</v>
      </c>
      <c r="K48" s="230">
        <v>0.154</v>
      </c>
      <c r="L48" s="289">
        <f t="shared" si="0"/>
        <v>1</v>
      </c>
      <c r="M48" s="128">
        <f t="shared" si="4"/>
        <v>0.1694</v>
      </c>
      <c r="N48" s="133">
        <f>+I48</f>
        <v>0.179</v>
      </c>
      <c r="O48" s="104"/>
      <c r="P48" s="104"/>
      <c r="Q48" s="104"/>
      <c r="R48" s="57"/>
      <c r="S48" s="68"/>
      <c r="T48" s="1"/>
    </row>
    <row r="49" spans="1:20" ht="15.75">
      <c r="A49" s="294">
        <f t="shared" si="3"/>
        <v>39</v>
      </c>
      <c r="B49" s="293" t="s">
        <v>31</v>
      </c>
      <c r="C49" s="294"/>
      <c r="D49" s="296" t="s">
        <v>129</v>
      </c>
      <c r="E49" s="433" t="s">
        <v>404</v>
      </c>
      <c r="F49" s="203">
        <v>792</v>
      </c>
      <c r="G49" s="201">
        <v>0</v>
      </c>
      <c r="H49" s="201">
        <v>0</v>
      </c>
      <c r="I49" s="201">
        <v>1.294</v>
      </c>
      <c r="J49" s="201">
        <f t="shared" si="2"/>
        <v>1.294</v>
      </c>
      <c r="K49" s="230">
        <v>0.11</v>
      </c>
      <c r="L49" s="289">
        <f t="shared" si="0"/>
        <v>1</v>
      </c>
      <c r="M49" s="128"/>
      <c r="N49" s="133"/>
      <c r="O49" s="104"/>
      <c r="P49" s="104"/>
      <c r="Q49" s="104"/>
      <c r="R49" s="57"/>
      <c r="S49" s="68">
        <f t="shared" si="1"/>
        <v>11.763636363636364</v>
      </c>
      <c r="T49" s="1"/>
    </row>
    <row r="50" spans="1:20" ht="15.75">
      <c r="A50" s="294">
        <f t="shared" si="3"/>
        <v>40</v>
      </c>
      <c r="B50" s="293" t="s">
        <v>31</v>
      </c>
      <c r="C50" s="294"/>
      <c r="D50" s="295" t="s">
        <v>130</v>
      </c>
      <c r="E50" s="433" t="s">
        <v>403</v>
      </c>
      <c r="F50" s="203">
        <v>277</v>
      </c>
      <c r="G50" s="201">
        <v>0.999</v>
      </c>
      <c r="H50" s="201">
        <v>0.366</v>
      </c>
      <c r="I50" s="201">
        <v>0</v>
      </c>
      <c r="J50" s="201">
        <f t="shared" si="2"/>
        <v>1.365</v>
      </c>
      <c r="K50" s="230">
        <v>0.12</v>
      </c>
      <c r="L50" s="289">
        <f t="shared" si="0"/>
        <v>1</v>
      </c>
      <c r="M50" s="128"/>
      <c r="N50" s="133"/>
      <c r="O50" s="104"/>
      <c r="P50" s="104"/>
      <c r="Q50" s="104"/>
      <c r="R50" s="57"/>
      <c r="S50" s="68"/>
      <c r="T50" s="1"/>
    </row>
    <row r="51" spans="1:20" ht="15.75">
      <c r="A51" s="294">
        <f t="shared" si="3"/>
        <v>41</v>
      </c>
      <c r="B51" s="293" t="s">
        <v>31</v>
      </c>
      <c r="C51" s="294"/>
      <c r="D51" s="296" t="s">
        <v>131</v>
      </c>
      <c r="E51" s="433" t="s">
        <v>405</v>
      </c>
      <c r="F51" s="203">
        <v>61</v>
      </c>
      <c r="G51" s="201">
        <v>0</v>
      </c>
      <c r="H51" s="201">
        <v>0</v>
      </c>
      <c r="I51" s="201">
        <v>0.1</v>
      </c>
      <c r="J51" s="201">
        <f t="shared" si="2"/>
        <v>0.1</v>
      </c>
      <c r="K51" s="230">
        <v>0.03</v>
      </c>
      <c r="L51" s="289">
        <f t="shared" si="0"/>
        <v>1</v>
      </c>
      <c r="M51" s="128">
        <f>+K51*0.1+K51</f>
        <v>0.033</v>
      </c>
      <c r="N51" s="135">
        <f>+I51+H51</f>
        <v>0.1</v>
      </c>
      <c r="O51" s="124"/>
      <c r="P51" s="104"/>
      <c r="Q51" s="104"/>
      <c r="R51" s="57"/>
      <c r="S51" s="68"/>
      <c r="T51" s="1"/>
    </row>
    <row r="52" spans="1:20" ht="15.75">
      <c r="A52" s="294">
        <f t="shared" si="3"/>
        <v>42</v>
      </c>
      <c r="B52" s="293" t="s">
        <v>31</v>
      </c>
      <c r="C52" s="294"/>
      <c r="D52" s="295" t="s">
        <v>149</v>
      </c>
      <c r="E52" s="433" t="s">
        <v>382</v>
      </c>
      <c r="F52" s="207">
        <v>984</v>
      </c>
      <c r="G52" s="201">
        <v>0</v>
      </c>
      <c r="H52" s="201">
        <v>0.26</v>
      </c>
      <c r="I52" s="201">
        <v>0</v>
      </c>
      <c r="J52" s="201">
        <f t="shared" si="2"/>
        <v>0.26</v>
      </c>
      <c r="K52" s="230">
        <v>0.15</v>
      </c>
      <c r="L52" s="289">
        <f>IF(K52=0,0,(IF(J52/K52&gt;1,1,J52/K52)))</f>
        <v>1</v>
      </c>
      <c r="M52" s="128"/>
      <c r="N52" s="133"/>
      <c r="O52" s="104"/>
      <c r="P52" s="104"/>
      <c r="Q52" s="104"/>
      <c r="R52" s="57"/>
      <c r="S52" s="68">
        <f t="shared" si="1"/>
        <v>1.7333333333333334</v>
      </c>
      <c r="T52" s="1"/>
    </row>
    <row r="53" spans="1:20" ht="15.75">
      <c r="A53" s="294">
        <f t="shared" si="3"/>
        <v>43</v>
      </c>
      <c r="B53" s="293" t="s">
        <v>31</v>
      </c>
      <c r="C53" s="294"/>
      <c r="D53" s="299" t="s">
        <v>150</v>
      </c>
      <c r="E53" s="434" t="s">
        <v>382</v>
      </c>
      <c r="F53" s="208">
        <v>647</v>
      </c>
      <c r="G53" s="201">
        <v>0</v>
      </c>
      <c r="H53" s="209">
        <v>0</v>
      </c>
      <c r="I53" s="209">
        <v>1.404</v>
      </c>
      <c r="J53" s="201">
        <f t="shared" si="2"/>
        <v>1.404</v>
      </c>
      <c r="K53" s="230">
        <v>0.225</v>
      </c>
      <c r="L53" s="289">
        <f t="shared" si="0"/>
        <v>1</v>
      </c>
      <c r="M53" s="128">
        <f>+K53*0.1+K53</f>
        <v>0.2475</v>
      </c>
      <c r="N53" s="133">
        <f>+H53</f>
        <v>0</v>
      </c>
      <c r="O53" s="104"/>
      <c r="P53" s="104"/>
      <c r="Q53" s="104"/>
      <c r="R53" s="57"/>
      <c r="S53" s="68"/>
      <c r="T53" s="1"/>
    </row>
    <row r="54" spans="1:20" ht="16.5" thickBot="1">
      <c r="A54" s="294">
        <f t="shared" si="3"/>
        <v>44</v>
      </c>
      <c r="B54" s="293" t="s">
        <v>31</v>
      </c>
      <c r="C54" s="294"/>
      <c r="D54" s="300" t="s">
        <v>177</v>
      </c>
      <c r="E54" s="435" t="s">
        <v>341</v>
      </c>
      <c r="F54" s="210">
        <v>287</v>
      </c>
      <c r="G54" s="211">
        <v>0</v>
      </c>
      <c r="H54" s="211">
        <v>0</v>
      </c>
      <c r="I54" s="211">
        <v>0.1</v>
      </c>
      <c r="J54" s="201">
        <f t="shared" si="2"/>
        <v>0.1</v>
      </c>
      <c r="K54" s="230">
        <v>0.025</v>
      </c>
      <c r="L54" s="289">
        <f t="shared" si="0"/>
        <v>1</v>
      </c>
      <c r="M54" s="128"/>
      <c r="N54" s="133"/>
      <c r="O54" s="104"/>
      <c r="P54" s="104"/>
      <c r="Q54" s="104"/>
      <c r="R54" s="57"/>
      <c r="S54" s="68"/>
      <c r="T54" s="1"/>
    </row>
    <row r="55" spans="1:20" ht="22.5" customHeight="1" thickBot="1">
      <c r="A55" s="212"/>
      <c r="B55" s="213"/>
      <c r="C55" s="526"/>
      <c r="D55" s="527"/>
      <c r="E55" s="410"/>
      <c r="F55" s="214">
        <f>SUM(F11:F54)</f>
        <v>46831.5</v>
      </c>
      <c r="G55" s="215">
        <f>SUM(G11:G52)</f>
        <v>42.794000000000004</v>
      </c>
      <c r="H55" s="215">
        <f>SUM(H11:H54)</f>
        <v>27.349800000000005</v>
      </c>
      <c r="I55" s="215">
        <f>SUM(I11:I53)</f>
        <v>15.539</v>
      </c>
      <c r="J55" s="215">
        <f>SUM(J11:J53)</f>
        <v>87.25779999999999</v>
      </c>
      <c r="K55" s="458">
        <f>SUM(K11:K53)</f>
        <v>36.22199999999999</v>
      </c>
      <c r="L55" s="459">
        <f t="shared" si="0"/>
        <v>1</v>
      </c>
      <c r="M55" s="130">
        <f>SUM(L11:L54)/44</f>
        <v>1</v>
      </c>
      <c r="N55" s="136"/>
      <c r="O55" s="105"/>
      <c r="P55" s="105"/>
      <c r="Q55" s="105"/>
      <c r="R55" s="49"/>
      <c r="S55" s="68">
        <f t="shared" si="1"/>
        <v>2.4089724476837286</v>
      </c>
      <c r="T55" s="1"/>
    </row>
    <row r="56" spans="1:20" ht="17.25" thickBot="1" thickTop="1">
      <c r="A56" s="216"/>
      <c r="B56" s="216"/>
      <c r="C56" s="216"/>
      <c r="D56" s="216"/>
      <c r="E56" s="216"/>
      <c r="F56" s="217"/>
      <c r="G56" s="216"/>
      <c r="H56" s="216"/>
      <c r="I56" s="216"/>
      <c r="J56" s="216"/>
      <c r="K56" s="216"/>
      <c r="L56" s="216"/>
      <c r="M56" s="137">
        <f>SUM(M11:M53)</f>
        <v>9.7493</v>
      </c>
      <c r="N56" s="137">
        <f>SUM(N11:N53)</f>
        <v>3.2920000000000003</v>
      </c>
      <c r="O56" s="141"/>
      <c r="P56" s="1"/>
      <c r="Q56" s="1"/>
      <c r="R56" s="1"/>
      <c r="S56" s="1"/>
      <c r="T56" s="1"/>
    </row>
    <row r="57" spans="1:20" ht="16.5" thickBot="1">
      <c r="A57" s="216"/>
      <c r="B57" s="216"/>
      <c r="C57" s="216"/>
      <c r="D57" s="218" t="s">
        <v>186</v>
      </c>
      <c r="E57" s="218"/>
      <c r="F57" s="219"/>
      <c r="G57" s="220" t="s">
        <v>190</v>
      </c>
      <c r="H57" s="221"/>
      <c r="I57" s="221"/>
      <c r="J57" s="221"/>
      <c r="K57" s="222"/>
      <c r="L57" s="222"/>
      <c r="M57" s="1"/>
      <c r="N57" s="1"/>
      <c r="O57" s="1"/>
      <c r="P57" s="1"/>
      <c r="Q57" s="1"/>
      <c r="R57" s="1"/>
      <c r="S57" s="1"/>
      <c r="T57" s="1"/>
    </row>
    <row r="58" spans="1:20" ht="6.75" customHeight="1" thickBot="1">
      <c r="A58" s="216"/>
      <c r="B58" s="216"/>
      <c r="C58" s="216"/>
      <c r="D58" s="223"/>
      <c r="E58" s="223"/>
      <c r="F58" s="224"/>
      <c r="G58" s="224"/>
      <c r="H58" s="225"/>
      <c r="I58" s="225"/>
      <c r="J58" s="225"/>
      <c r="K58" s="223"/>
      <c r="L58" s="223"/>
      <c r="M58" s="1"/>
      <c r="N58" s="1"/>
      <c r="O58" s="1"/>
      <c r="P58" s="1"/>
      <c r="Q58" s="1"/>
      <c r="R58" s="1"/>
      <c r="S58" s="1"/>
      <c r="T58" s="1"/>
    </row>
    <row r="59" spans="1:20" ht="16.5" thickBot="1">
      <c r="A59" s="216"/>
      <c r="B59" s="216"/>
      <c r="C59" s="216"/>
      <c r="D59" s="223"/>
      <c r="E59" s="223"/>
      <c r="F59" s="226"/>
      <c r="G59" s="220" t="s">
        <v>193</v>
      </c>
      <c r="H59" s="225"/>
      <c r="I59" s="225"/>
      <c r="J59" s="225"/>
      <c r="K59" s="223"/>
      <c r="L59" s="223"/>
      <c r="M59" s="1"/>
      <c r="N59" s="1"/>
      <c r="O59" s="1"/>
      <c r="P59" s="1"/>
      <c r="Q59" s="1"/>
      <c r="R59" s="1"/>
      <c r="S59" s="1"/>
      <c r="T59" s="1"/>
    </row>
    <row r="60" spans="1:12" ht="6.75" customHeight="1" thickBot="1">
      <c r="A60" s="223"/>
      <c r="B60" s="223"/>
      <c r="C60" s="223"/>
      <c r="D60" s="223"/>
      <c r="E60" s="223"/>
      <c r="F60" s="224"/>
      <c r="G60" s="224"/>
      <c r="H60" s="225"/>
      <c r="I60" s="225"/>
      <c r="J60" s="225"/>
      <c r="K60" s="223"/>
      <c r="L60" s="223"/>
    </row>
    <row r="61" spans="1:12" ht="16.5" thickBot="1">
      <c r="A61" s="223"/>
      <c r="B61" s="223"/>
      <c r="C61" s="223"/>
      <c r="D61" s="223"/>
      <c r="E61" s="223"/>
      <c r="F61" s="227"/>
      <c r="G61" s="220" t="s">
        <v>189</v>
      </c>
      <c r="H61" s="225"/>
      <c r="I61" s="225"/>
      <c r="J61" s="225"/>
      <c r="K61" s="223"/>
      <c r="L61" s="223"/>
    </row>
    <row r="62" spans="1:12" ht="6.75" customHeight="1" thickBot="1">
      <c r="A62" s="223"/>
      <c r="B62" s="223"/>
      <c r="C62" s="223"/>
      <c r="D62" s="223"/>
      <c r="E62" s="223"/>
      <c r="F62" s="224"/>
      <c r="G62" s="224"/>
      <c r="H62" s="225"/>
      <c r="I62" s="225"/>
      <c r="J62" s="225"/>
      <c r="K62" s="223"/>
      <c r="L62" s="223"/>
    </row>
    <row r="63" spans="1:12" ht="18.75" thickBot="1">
      <c r="A63" s="223"/>
      <c r="B63" s="223"/>
      <c r="C63" s="223"/>
      <c r="D63" s="223"/>
      <c r="E63" s="223"/>
      <c r="F63" s="228"/>
      <c r="G63" s="220" t="s">
        <v>188</v>
      </c>
      <c r="H63" s="225"/>
      <c r="I63" s="225"/>
      <c r="J63" s="225"/>
      <c r="K63" s="223"/>
      <c r="L63" s="223"/>
    </row>
    <row r="64" ht="12.75">
      <c r="F64" s="54"/>
    </row>
    <row r="65" ht="12.75">
      <c r="F65" s="54"/>
    </row>
    <row r="66" ht="12.75">
      <c r="F66" s="54"/>
    </row>
    <row r="67" ht="12.75">
      <c r="F67" s="54"/>
    </row>
    <row r="68" ht="12.75">
      <c r="F68" s="54"/>
    </row>
    <row r="69" ht="12.75">
      <c r="F69" s="54"/>
    </row>
  </sheetData>
  <sheetProtection/>
  <mergeCells count="13">
    <mergeCell ref="C55:D55"/>
    <mergeCell ref="B10:D10"/>
    <mergeCell ref="A3:L3"/>
    <mergeCell ref="B6:C8"/>
    <mergeCell ref="L7:L8"/>
    <mergeCell ref="P18:Q18"/>
    <mergeCell ref="P17:Q17"/>
    <mergeCell ref="M6:M8"/>
    <mergeCell ref="A2:L2"/>
    <mergeCell ref="A4:L4"/>
    <mergeCell ref="A6:A8"/>
    <mergeCell ref="D6:D8"/>
    <mergeCell ref="H6:I6"/>
  </mergeCells>
  <printOptions horizontalCentered="1" verticalCentered="1"/>
  <pageMargins left="0" right="0" top="0" bottom="1.4960629921259843" header="0.31496062992125984" footer="0.31496062992125984"/>
  <pageSetup horizontalDpi="300" verticalDpi="300" orientation="portrait" pageOrder="overThenDown" scale="65" r:id="rId2"/>
  <rowBreaks count="1" manualBreakCount="1">
    <brk id="1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5"/>
  <sheetViews>
    <sheetView zoomScale="120" zoomScaleNormal="120" zoomScalePageLayoutView="0" workbookViewId="0" topLeftCell="A7">
      <pane xSplit="7710" ySplit="1335" topLeftCell="G42" activePane="bottomRight" state="split"/>
      <selection pane="topLeft" activeCell="A7" sqref="A7"/>
      <selection pane="topRight" activeCell="F7" sqref="F7"/>
      <selection pane="bottomLeft" activeCell="A53" sqref="A53"/>
      <selection pane="bottomRight" activeCell="H49" sqref="H49"/>
    </sheetView>
  </sheetViews>
  <sheetFormatPr defaultColWidth="9.140625" defaultRowHeight="12.75"/>
  <cols>
    <col min="1" max="1" width="5.421875" style="0" customWidth="1"/>
    <col min="2" max="2" width="15.7109375" style="0" customWidth="1"/>
    <col min="3" max="3" width="4.57421875" style="0" hidden="1" customWidth="1"/>
    <col min="4" max="4" width="21.8515625" style="0" customWidth="1"/>
    <col min="5" max="5" width="14.00390625" style="0" customWidth="1"/>
    <col min="6" max="7" width="12.8515625" style="0" customWidth="1"/>
    <col min="8" max="8" width="11.00390625" style="0" customWidth="1"/>
    <col min="9" max="9" width="11.140625" style="0" customWidth="1"/>
    <col min="10" max="10" width="12.57421875" style="0" customWidth="1"/>
    <col min="11" max="11" width="11.57421875" style="0" customWidth="1"/>
    <col min="12" max="12" width="12.7109375" style="0" customWidth="1"/>
    <col min="13" max="13" width="14.57421875" style="0" customWidth="1"/>
    <col min="14" max="14" width="11.421875" style="0" customWidth="1"/>
  </cols>
  <sheetData>
    <row r="1" spans="6:11" ht="24.75" customHeight="1">
      <c r="F1" s="44"/>
      <c r="G1" s="44"/>
      <c r="H1" s="44"/>
      <c r="I1" s="44"/>
      <c r="J1" s="44"/>
      <c r="K1" s="44"/>
    </row>
    <row r="2" spans="1:12" ht="21" customHeight="1">
      <c r="A2" s="498" t="s">
        <v>254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</row>
    <row r="3" spans="1:12" ht="21" customHeight="1">
      <c r="A3" s="498" t="s">
        <v>105</v>
      </c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</row>
    <row r="4" spans="1:12" ht="21" customHeight="1">
      <c r="A4" s="498" t="str">
        <f>+'PC-JT-SL'!A5:L5</f>
        <v>MINGGU   ke  V ( Tgl. 23 April  s/d  29 April 2013 )  </v>
      </c>
      <c r="B4" s="498"/>
      <c r="C4" s="498"/>
      <c r="D4" s="498"/>
      <c r="E4" s="498"/>
      <c r="F4" s="498"/>
      <c r="G4" s="498"/>
      <c r="H4" s="498"/>
      <c r="I4" s="498"/>
      <c r="J4" s="498"/>
      <c r="K4" s="498"/>
      <c r="L4" s="498"/>
    </row>
    <row r="5" spans="1:12" ht="21" customHeight="1" thickBot="1">
      <c r="A5" s="1" t="s">
        <v>72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21" customHeight="1" thickBot="1">
      <c r="A6" s="555" t="s">
        <v>0</v>
      </c>
      <c r="B6" s="562" t="s">
        <v>339</v>
      </c>
      <c r="C6" s="563"/>
      <c r="D6" s="557" t="s">
        <v>4</v>
      </c>
      <c r="E6" s="471"/>
      <c r="F6" s="472" t="s">
        <v>51</v>
      </c>
      <c r="G6" s="473" t="s">
        <v>57</v>
      </c>
      <c r="H6" s="558" t="s">
        <v>54</v>
      </c>
      <c r="I6" s="559"/>
      <c r="J6" s="474" t="s">
        <v>57</v>
      </c>
      <c r="K6" s="475" t="s">
        <v>57</v>
      </c>
      <c r="L6" s="476" t="s">
        <v>60</v>
      </c>
      <c r="M6" s="89" t="s">
        <v>162</v>
      </c>
    </row>
    <row r="7" spans="1:13" ht="21" customHeight="1">
      <c r="A7" s="556"/>
      <c r="B7" s="532"/>
      <c r="C7" s="533"/>
      <c r="D7" s="523"/>
      <c r="E7" s="403" t="s">
        <v>58</v>
      </c>
      <c r="F7" s="145" t="s">
        <v>52</v>
      </c>
      <c r="G7" s="147" t="s">
        <v>62</v>
      </c>
      <c r="H7" s="148" t="s">
        <v>55</v>
      </c>
      <c r="I7" s="149" t="s">
        <v>56</v>
      </c>
      <c r="J7" s="151" t="s">
        <v>58</v>
      </c>
      <c r="K7" s="153" t="s">
        <v>338</v>
      </c>
      <c r="L7" s="560" t="s">
        <v>61</v>
      </c>
      <c r="M7" s="89" t="s">
        <v>160</v>
      </c>
    </row>
    <row r="8" spans="1:12" ht="21" customHeight="1" thickBot="1">
      <c r="A8" s="556"/>
      <c r="B8" s="534"/>
      <c r="C8" s="535"/>
      <c r="D8" s="523"/>
      <c r="E8" s="404"/>
      <c r="F8" s="145" t="s">
        <v>53</v>
      </c>
      <c r="G8" s="158" t="s">
        <v>98</v>
      </c>
      <c r="H8" s="159" t="s">
        <v>98</v>
      </c>
      <c r="I8" s="160" t="s">
        <v>98</v>
      </c>
      <c r="J8" s="156" t="s">
        <v>98</v>
      </c>
      <c r="K8" s="157" t="s">
        <v>98</v>
      </c>
      <c r="L8" s="561"/>
    </row>
    <row r="9" spans="1:12" ht="21" customHeight="1" thickBot="1">
      <c r="A9" s="164">
        <v>1</v>
      </c>
      <c r="B9" s="162">
        <v>2</v>
      </c>
      <c r="C9" s="163"/>
      <c r="D9" s="164">
        <v>3</v>
      </c>
      <c r="E9" s="164"/>
      <c r="F9" s="164">
        <v>4</v>
      </c>
      <c r="G9" s="164">
        <v>5</v>
      </c>
      <c r="H9" s="164">
        <v>6</v>
      </c>
      <c r="I9" s="164">
        <v>7</v>
      </c>
      <c r="J9" s="164" t="s">
        <v>64</v>
      </c>
      <c r="K9" s="164">
        <v>9</v>
      </c>
      <c r="L9" s="164">
        <v>10</v>
      </c>
    </row>
    <row r="10" spans="1:12" ht="27" customHeight="1" thickBot="1" thickTop="1">
      <c r="A10" s="32" t="s">
        <v>81</v>
      </c>
      <c r="B10" s="540" t="s">
        <v>82</v>
      </c>
      <c r="C10" s="541"/>
      <c r="D10" s="542"/>
      <c r="E10" s="409"/>
      <c r="F10" s="21"/>
      <c r="G10" s="538"/>
      <c r="H10" s="539"/>
      <c r="I10" s="539"/>
      <c r="J10" s="539"/>
      <c r="K10" s="19"/>
      <c r="L10" s="477"/>
    </row>
    <row r="11" spans="1:14" ht="21" customHeight="1" thickTop="1">
      <c r="A11" s="98">
        <v>1</v>
      </c>
      <c r="B11" s="4" t="s">
        <v>16</v>
      </c>
      <c r="C11" s="52"/>
      <c r="D11" s="11" t="s">
        <v>17</v>
      </c>
      <c r="E11" s="47" t="s">
        <v>406</v>
      </c>
      <c r="F11" s="22">
        <v>1448</v>
      </c>
      <c r="G11" s="463">
        <v>1.448</v>
      </c>
      <c r="H11" s="463">
        <v>5.753</v>
      </c>
      <c r="I11" s="463">
        <v>2.27</v>
      </c>
      <c r="J11" s="463">
        <f aca="true" t="shared" si="0" ref="J11:J28">+I11+H11+G11</f>
        <v>9.471</v>
      </c>
      <c r="K11" s="463">
        <v>2.27</v>
      </c>
      <c r="L11" s="478">
        <v>1</v>
      </c>
      <c r="M11" s="88">
        <f>SUM(L11:L28)/13</f>
        <v>1.3874060822898033</v>
      </c>
      <c r="N11" s="81">
        <f>J11/K11</f>
        <v>4.172246696035242</v>
      </c>
    </row>
    <row r="12" spans="1:14" ht="21" customHeight="1">
      <c r="A12" s="98">
        <f>+A11+1</f>
        <v>2</v>
      </c>
      <c r="B12" s="7" t="s">
        <v>40</v>
      </c>
      <c r="C12" s="17"/>
      <c r="D12" s="5" t="s">
        <v>63</v>
      </c>
      <c r="E12" s="413" t="s">
        <v>407</v>
      </c>
      <c r="F12" s="14">
        <v>1227</v>
      </c>
      <c r="G12" s="467">
        <v>2.503</v>
      </c>
      <c r="H12" s="463">
        <v>0.417</v>
      </c>
      <c r="I12" s="463">
        <v>0.185</v>
      </c>
      <c r="J12" s="463">
        <f t="shared" si="0"/>
        <v>3.105</v>
      </c>
      <c r="K12" s="463">
        <v>0.597</v>
      </c>
      <c r="L12" s="478">
        <v>1</v>
      </c>
      <c r="N12" s="81">
        <f>J12/K12</f>
        <v>5.201005025125628</v>
      </c>
    </row>
    <row r="13" spans="1:14" ht="21" customHeight="1">
      <c r="A13" s="98">
        <f>+A12+1</f>
        <v>3</v>
      </c>
      <c r="B13" s="7" t="s">
        <v>40</v>
      </c>
      <c r="C13" s="17"/>
      <c r="D13" s="5" t="s">
        <v>170</v>
      </c>
      <c r="E13" s="47" t="s">
        <v>408</v>
      </c>
      <c r="F13" s="14">
        <v>4341</v>
      </c>
      <c r="G13" s="463">
        <v>18.77</v>
      </c>
      <c r="H13" s="468">
        <v>5.087</v>
      </c>
      <c r="I13" s="468">
        <v>0</v>
      </c>
      <c r="J13" s="468">
        <f t="shared" si="0"/>
        <v>23.857</v>
      </c>
      <c r="K13" s="468">
        <v>5.279</v>
      </c>
      <c r="L13" s="478">
        <v>1</v>
      </c>
      <c r="N13" s="81"/>
    </row>
    <row r="14" spans="1:14" ht="21" customHeight="1">
      <c r="A14" s="98">
        <f>+A13+1</f>
        <v>4</v>
      </c>
      <c r="B14" s="7" t="s">
        <v>40</v>
      </c>
      <c r="C14" s="17"/>
      <c r="D14" s="121" t="s">
        <v>171</v>
      </c>
      <c r="E14" s="438" t="s">
        <v>408</v>
      </c>
      <c r="F14" s="258">
        <v>5126</v>
      </c>
      <c r="G14" s="463">
        <v>14.29</v>
      </c>
      <c r="H14" s="468">
        <v>4.865</v>
      </c>
      <c r="I14" s="468" t="s">
        <v>70</v>
      </c>
      <c r="J14" s="468">
        <f t="shared" si="0"/>
        <v>19.155</v>
      </c>
      <c r="K14" s="468">
        <v>5.443</v>
      </c>
      <c r="L14" s="478">
        <v>1</v>
      </c>
      <c r="N14" s="81"/>
    </row>
    <row r="15" spans="1:14" ht="21" customHeight="1">
      <c r="A15" s="98">
        <f>+A14+1</f>
        <v>5</v>
      </c>
      <c r="B15" s="7" t="s">
        <v>41</v>
      </c>
      <c r="C15" s="17"/>
      <c r="D15" s="5" t="s">
        <v>42</v>
      </c>
      <c r="E15" s="47" t="s">
        <v>409</v>
      </c>
      <c r="F15" s="14">
        <v>436</v>
      </c>
      <c r="G15" s="463">
        <v>0.93</v>
      </c>
      <c r="H15" s="468">
        <v>0.095</v>
      </c>
      <c r="I15" s="468">
        <v>0.205</v>
      </c>
      <c r="J15" s="468">
        <f t="shared" si="0"/>
        <v>1.23</v>
      </c>
      <c r="K15" s="468">
        <v>0.265</v>
      </c>
      <c r="L15" s="478">
        <v>1</v>
      </c>
      <c r="N15" s="81">
        <f aca="true" t="shared" si="1" ref="N15:N31">J15/K15</f>
        <v>4.641509433962264</v>
      </c>
    </row>
    <row r="16" spans="1:14" ht="21" customHeight="1">
      <c r="A16" s="98">
        <f>+A15+1</f>
        <v>6</v>
      </c>
      <c r="B16" s="7" t="s">
        <v>41</v>
      </c>
      <c r="C16" s="17"/>
      <c r="D16" s="5" t="s">
        <v>106</v>
      </c>
      <c r="E16" s="47" t="s">
        <v>410</v>
      </c>
      <c r="F16" s="14">
        <v>67</v>
      </c>
      <c r="G16" s="463">
        <v>0.246</v>
      </c>
      <c r="H16" s="468">
        <v>0</v>
      </c>
      <c r="I16" s="468">
        <v>0.04</v>
      </c>
      <c r="J16" s="468">
        <f t="shared" si="0"/>
        <v>0.286</v>
      </c>
      <c r="K16" s="468">
        <v>0.035</v>
      </c>
      <c r="L16" s="478">
        <v>1</v>
      </c>
      <c r="N16" s="81">
        <f t="shared" si="1"/>
        <v>8.17142857142857</v>
      </c>
    </row>
    <row r="17" spans="1:14" ht="21" customHeight="1">
      <c r="A17" s="98">
        <f aca="true" t="shared" si="2" ref="A17:A28">+A16+1</f>
        <v>7</v>
      </c>
      <c r="B17" s="7" t="s">
        <v>41</v>
      </c>
      <c r="C17" s="17"/>
      <c r="D17" s="5" t="s">
        <v>107</v>
      </c>
      <c r="E17" s="47" t="s">
        <v>410</v>
      </c>
      <c r="F17" s="14">
        <v>57</v>
      </c>
      <c r="G17" s="463">
        <v>0.211</v>
      </c>
      <c r="H17" s="468" t="s">
        <v>70</v>
      </c>
      <c r="I17" s="468">
        <v>0.04</v>
      </c>
      <c r="J17" s="468">
        <f t="shared" si="0"/>
        <v>0.251</v>
      </c>
      <c r="K17" s="468">
        <v>0.03</v>
      </c>
      <c r="L17" s="478">
        <v>1</v>
      </c>
      <c r="N17" s="81">
        <f t="shared" si="1"/>
        <v>8.366666666666667</v>
      </c>
    </row>
    <row r="18" spans="1:14" ht="21" customHeight="1">
      <c r="A18" s="98">
        <f t="shared" si="2"/>
        <v>8</v>
      </c>
      <c r="B18" s="7" t="s">
        <v>41</v>
      </c>
      <c r="C18" s="17"/>
      <c r="D18" s="5" t="s">
        <v>108</v>
      </c>
      <c r="E18" s="47" t="s">
        <v>409</v>
      </c>
      <c r="F18" s="14">
        <v>48</v>
      </c>
      <c r="G18" s="463">
        <v>0.233</v>
      </c>
      <c r="H18" s="468">
        <v>0.01</v>
      </c>
      <c r="I18" s="468">
        <v>0.03</v>
      </c>
      <c r="J18" s="468">
        <f t="shared" si="0"/>
        <v>0.273</v>
      </c>
      <c r="K18" s="468">
        <v>0.03</v>
      </c>
      <c r="L18" s="478">
        <v>1</v>
      </c>
      <c r="N18" s="81">
        <f t="shared" si="1"/>
        <v>9.100000000000001</v>
      </c>
    </row>
    <row r="19" spans="1:14" ht="21" customHeight="1">
      <c r="A19" s="98">
        <f t="shared" si="2"/>
        <v>9</v>
      </c>
      <c r="B19" s="7" t="s">
        <v>41</v>
      </c>
      <c r="C19" s="17"/>
      <c r="D19" s="5" t="s">
        <v>109</v>
      </c>
      <c r="E19" s="47" t="s">
        <v>409</v>
      </c>
      <c r="F19" s="14">
        <v>264</v>
      </c>
      <c r="G19" s="463">
        <v>0.24</v>
      </c>
      <c r="H19" s="468">
        <v>0.085</v>
      </c>
      <c r="I19" s="468">
        <v>0.095</v>
      </c>
      <c r="J19" s="468">
        <f>+I19+H19+G19</f>
        <v>0.42</v>
      </c>
      <c r="K19" s="468">
        <v>0.17</v>
      </c>
      <c r="L19" s="478">
        <v>1</v>
      </c>
      <c r="N19" s="81">
        <f t="shared" si="1"/>
        <v>2.4705882352941173</v>
      </c>
    </row>
    <row r="20" spans="1:14" ht="21" customHeight="1">
      <c r="A20" s="98">
        <f t="shared" si="2"/>
        <v>10</v>
      </c>
      <c r="B20" s="7" t="s">
        <v>41</v>
      </c>
      <c r="C20" s="17"/>
      <c r="D20" s="5" t="s">
        <v>43</v>
      </c>
      <c r="E20" s="47" t="s">
        <v>411</v>
      </c>
      <c r="F20" s="14">
        <v>1607</v>
      </c>
      <c r="G20" s="463">
        <v>0.867</v>
      </c>
      <c r="H20" s="468">
        <v>1.075</v>
      </c>
      <c r="I20" s="468" t="s">
        <v>70</v>
      </c>
      <c r="J20" s="468">
        <f>+I20+H20+G20</f>
        <v>1.942</v>
      </c>
      <c r="K20" s="468">
        <v>0</v>
      </c>
      <c r="L20" s="478">
        <v>1</v>
      </c>
      <c r="N20" s="81" t="e">
        <f t="shared" si="1"/>
        <v>#DIV/0!</v>
      </c>
    </row>
    <row r="21" spans="1:14" ht="21" customHeight="1">
      <c r="A21" s="98">
        <f t="shared" si="2"/>
        <v>11</v>
      </c>
      <c r="B21" s="7" t="s">
        <v>41</v>
      </c>
      <c r="C21" s="17"/>
      <c r="D21" s="121" t="s">
        <v>255</v>
      </c>
      <c r="E21" s="438" t="s">
        <v>412</v>
      </c>
      <c r="F21" s="258">
        <v>10307</v>
      </c>
      <c r="G21" s="463">
        <v>0</v>
      </c>
      <c r="H21" s="468">
        <v>0</v>
      </c>
      <c r="I21" s="468">
        <v>3.195</v>
      </c>
      <c r="J21" s="468">
        <f>+I21+H21+G21</f>
        <v>3.195</v>
      </c>
      <c r="K21" s="468">
        <v>3.195</v>
      </c>
      <c r="L21" s="478">
        <v>1</v>
      </c>
      <c r="N21" s="81"/>
    </row>
    <row r="22" spans="1:14" ht="21" customHeight="1">
      <c r="A22" s="98">
        <f t="shared" si="2"/>
        <v>12</v>
      </c>
      <c r="B22" s="7" t="s">
        <v>41</v>
      </c>
      <c r="C22" s="17"/>
      <c r="D22" s="121" t="s">
        <v>256</v>
      </c>
      <c r="E22" s="438" t="s">
        <v>412</v>
      </c>
      <c r="F22" s="258">
        <v>12499</v>
      </c>
      <c r="G22" s="463">
        <v>0</v>
      </c>
      <c r="H22" s="468">
        <v>10.121</v>
      </c>
      <c r="I22" s="468">
        <v>0</v>
      </c>
      <c r="J22" s="468">
        <f>+I22+H22+G22</f>
        <v>10.121</v>
      </c>
      <c r="K22" s="468">
        <v>10.121</v>
      </c>
      <c r="L22" s="478">
        <v>1</v>
      </c>
      <c r="N22" s="81"/>
    </row>
    <row r="23" spans="1:14" ht="21" customHeight="1">
      <c r="A23" s="98">
        <f t="shared" si="2"/>
        <v>13</v>
      </c>
      <c r="B23" s="7" t="s">
        <v>41</v>
      </c>
      <c r="C23" s="17"/>
      <c r="D23" s="121" t="s">
        <v>257</v>
      </c>
      <c r="E23" s="438" t="s">
        <v>413</v>
      </c>
      <c r="F23" s="258">
        <v>8295</v>
      </c>
      <c r="G23" s="463" t="s">
        <v>70</v>
      </c>
      <c r="H23" s="468">
        <v>0.278</v>
      </c>
      <c r="I23" s="468" t="s">
        <v>70</v>
      </c>
      <c r="J23" s="468">
        <f>+I23+H23+G23</f>
        <v>0.278</v>
      </c>
      <c r="K23" s="468">
        <v>0.278</v>
      </c>
      <c r="L23" s="478">
        <v>1</v>
      </c>
      <c r="N23" s="81"/>
    </row>
    <row r="24" spans="1:14" ht="21" customHeight="1">
      <c r="A24" s="98">
        <f t="shared" si="2"/>
        <v>14</v>
      </c>
      <c r="B24" s="7" t="s">
        <v>45</v>
      </c>
      <c r="C24" s="17"/>
      <c r="D24" s="5" t="s">
        <v>46</v>
      </c>
      <c r="E24" s="47" t="s">
        <v>414</v>
      </c>
      <c r="F24" s="14">
        <v>271</v>
      </c>
      <c r="G24" s="463">
        <v>0</v>
      </c>
      <c r="H24" s="468">
        <v>0.485</v>
      </c>
      <c r="I24" s="468" t="s">
        <v>70</v>
      </c>
      <c r="J24" s="468">
        <f t="shared" si="0"/>
        <v>0.485</v>
      </c>
      <c r="K24" s="468">
        <v>0.483</v>
      </c>
      <c r="L24" s="478">
        <v>1</v>
      </c>
      <c r="N24" s="81">
        <f t="shared" si="1"/>
        <v>1.0041407867494825</v>
      </c>
    </row>
    <row r="25" spans="1:14" ht="21" customHeight="1">
      <c r="A25" s="98">
        <f t="shared" si="2"/>
        <v>15</v>
      </c>
      <c r="B25" s="5" t="s">
        <v>47</v>
      </c>
      <c r="C25" s="17"/>
      <c r="D25" s="5" t="s">
        <v>48</v>
      </c>
      <c r="E25" s="47" t="s">
        <v>415</v>
      </c>
      <c r="F25" s="14">
        <v>528</v>
      </c>
      <c r="G25" s="463">
        <v>0</v>
      </c>
      <c r="H25" s="468" t="s">
        <v>70</v>
      </c>
      <c r="I25" s="468">
        <v>1.112</v>
      </c>
      <c r="J25" s="468">
        <f t="shared" si="0"/>
        <v>1.112</v>
      </c>
      <c r="K25" s="468">
        <v>1.112</v>
      </c>
      <c r="L25" s="478">
        <v>1</v>
      </c>
      <c r="N25" s="81">
        <f t="shared" si="1"/>
        <v>1</v>
      </c>
    </row>
    <row r="26" spans="1:14" ht="21" customHeight="1">
      <c r="A26" s="98">
        <f t="shared" si="2"/>
        <v>16</v>
      </c>
      <c r="B26" s="5" t="s">
        <v>47</v>
      </c>
      <c r="C26" s="17"/>
      <c r="D26" s="5" t="s">
        <v>110</v>
      </c>
      <c r="E26" s="47" t="s">
        <v>416</v>
      </c>
      <c r="F26" s="14">
        <v>1214</v>
      </c>
      <c r="G26" s="463">
        <v>0.38</v>
      </c>
      <c r="H26" s="468">
        <v>0.918</v>
      </c>
      <c r="I26" s="468" t="s">
        <v>70</v>
      </c>
      <c r="J26" s="468">
        <f t="shared" si="0"/>
        <v>1.298</v>
      </c>
      <c r="K26" s="468">
        <v>0.918</v>
      </c>
      <c r="L26" s="478">
        <v>1</v>
      </c>
      <c r="N26" s="81">
        <f t="shared" si="1"/>
        <v>1.4139433551198257</v>
      </c>
    </row>
    <row r="27" spans="1:14" ht="21" customHeight="1">
      <c r="A27" s="98">
        <f t="shared" si="2"/>
        <v>17</v>
      </c>
      <c r="B27" s="5" t="s">
        <v>47</v>
      </c>
      <c r="C27" s="17"/>
      <c r="D27" s="121" t="s">
        <v>111</v>
      </c>
      <c r="E27" s="438" t="s">
        <v>417</v>
      </c>
      <c r="F27" s="258">
        <v>3329</v>
      </c>
      <c r="G27" s="463">
        <v>0.083</v>
      </c>
      <c r="H27" s="468" t="s">
        <v>70</v>
      </c>
      <c r="I27" s="468">
        <v>2.145</v>
      </c>
      <c r="J27" s="468">
        <f t="shared" si="0"/>
        <v>2.228</v>
      </c>
      <c r="K27" s="468">
        <v>2.15</v>
      </c>
      <c r="L27" s="478">
        <f>J27/K27</f>
        <v>1.036279069767442</v>
      </c>
      <c r="N27" s="81">
        <f t="shared" si="1"/>
        <v>1.036279069767442</v>
      </c>
    </row>
    <row r="28" spans="1:14" ht="21" customHeight="1" thickBot="1">
      <c r="A28" s="98">
        <f t="shared" si="2"/>
        <v>18</v>
      </c>
      <c r="B28" s="10" t="s">
        <v>47</v>
      </c>
      <c r="C28" s="18"/>
      <c r="D28" s="10" t="s">
        <v>112</v>
      </c>
      <c r="E28" s="47" t="s">
        <v>418</v>
      </c>
      <c r="F28" s="50">
        <v>508</v>
      </c>
      <c r="G28" s="463">
        <v>7.206</v>
      </c>
      <c r="H28" s="468">
        <v>0.693</v>
      </c>
      <c r="I28" s="468" t="s">
        <v>70</v>
      </c>
      <c r="J28" s="468">
        <f t="shared" si="0"/>
        <v>7.899</v>
      </c>
      <c r="K28" s="468">
        <v>0.657</v>
      </c>
      <c r="L28" s="478">
        <v>1</v>
      </c>
      <c r="N28" s="81">
        <f t="shared" si="1"/>
        <v>12.02283105022831</v>
      </c>
    </row>
    <row r="29" spans="1:14" ht="21" customHeight="1" thickBot="1" thickTop="1">
      <c r="A29" s="479"/>
      <c r="B29" s="546" t="s">
        <v>132</v>
      </c>
      <c r="C29" s="547"/>
      <c r="D29" s="548"/>
      <c r="E29" s="84"/>
      <c r="F29" s="59">
        <f aca="true" t="shared" si="3" ref="F29:K29">SUM(F11:F28)</f>
        <v>51572</v>
      </c>
      <c r="G29" s="84">
        <f t="shared" si="3"/>
        <v>47.407</v>
      </c>
      <c r="H29" s="84">
        <f t="shared" si="3"/>
        <v>29.882</v>
      </c>
      <c r="I29" s="84">
        <f t="shared" si="3"/>
        <v>9.317</v>
      </c>
      <c r="J29" s="84">
        <f t="shared" si="3"/>
        <v>86.606</v>
      </c>
      <c r="K29" s="442">
        <f t="shared" si="3"/>
        <v>33.033</v>
      </c>
      <c r="L29" s="443">
        <f>IF(K29=0,0,(IF(J29/K29&gt;1,1,J29/K29)))</f>
        <v>1</v>
      </c>
      <c r="M29" s="78"/>
      <c r="N29" s="81">
        <f t="shared" si="1"/>
        <v>2.621802439984258</v>
      </c>
    </row>
    <row r="30" spans="1:14" ht="27" customHeight="1" thickBot="1" thickTop="1">
      <c r="A30" s="480" t="s">
        <v>83</v>
      </c>
      <c r="B30" s="554" t="s">
        <v>84</v>
      </c>
      <c r="C30" s="542"/>
      <c r="D30" s="542"/>
      <c r="E30" s="20"/>
      <c r="F30" s="21"/>
      <c r="G30" s="20"/>
      <c r="H30" s="19"/>
      <c r="I30" s="265"/>
      <c r="J30" s="266"/>
      <c r="K30" s="265"/>
      <c r="L30" s="481"/>
      <c r="N30" s="81" t="e">
        <f t="shared" si="1"/>
        <v>#DIV/0!</v>
      </c>
    </row>
    <row r="31" spans="1:14" ht="21" customHeight="1" thickTop="1">
      <c r="A31" s="96">
        <v>1</v>
      </c>
      <c r="B31" s="121" t="s">
        <v>44</v>
      </c>
      <c r="C31" s="52">
        <v>1</v>
      </c>
      <c r="D31" s="121" t="s">
        <v>235</v>
      </c>
      <c r="E31" s="438" t="s">
        <v>414</v>
      </c>
      <c r="F31" s="258">
        <v>5001</v>
      </c>
      <c r="G31" s="53">
        <v>0.075</v>
      </c>
      <c r="H31" s="53">
        <v>0.082</v>
      </c>
      <c r="I31" s="69">
        <v>0</v>
      </c>
      <c r="J31" s="69">
        <f aca="true" t="shared" si="4" ref="J31:J48">+I31+H31+G31</f>
        <v>0.157</v>
      </c>
      <c r="K31" s="53">
        <v>11</v>
      </c>
      <c r="L31" s="482">
        <f>IF(K31=0,0,(IF(J31/K31&gt;1,1,J31/K31)))</f>
        <v>0.014272727272727272</v>
      </c>
      <c r="M31" s="88">
        <f>SUM(L31:L48)/16</f>
        <v>0.7596896731298677</v>
      </c>
      <c r="N31" s="81">
        <f t="shared" si="1"/>
        <v>0.014272727272727272</v>
      </c>
    </row>
    <row r="32" spans="1:14" ht="21" customHeight="1">
      <c r="A32" s="483">
        <v>2</v>
      </c>
      <c r="B32" s="256" t="s">
        <v>49</v>
      </c>
      <c r="C32" s="17">
        <f aca="true" t="shared" si="5" ref="C32:C48">+C31+1</f>
        <v>2</v>
      </c>
      <c r="D32" s="121" t="s">
        <v>220</v>
      </c>
      <c r="E32" s="438" t="s">
        <v>419</v>
      </c>
      <c r="F32" s="258">
        <v>3200</v>
      </c>
      <c r="G32" s="53">
        <v>8.748</v>
      </c>
      <c r="H32" s="47">
        <v>3.601</v>
      </c>
      <c r="I32" s="47">
        <v>0.08</v>
      </c>
      <c r="J32" s="69">
        <f t="shared" si="4"/>
        <v>12.428999999999998</v>
      </c>
      <c r="K32" s="53">
        <v>4.144</v>
      </c>
      <c r="L32" s="484">
        <f>IF(K32=0,0,(IF(J32/K32&gt;1,1,J32/K32)))</f>
        <v>1</v>
      </c>
      <c r="M32" s="88"/>
      <c r="N32" s="81"/>
    </row>
    <row r="33" spans="1:14" ht="21" customHeight="1">
      <c r="A33" s="483">
        <v>3</v>
      </c>
      <c r="B33" s="259" t="s">
        <v>44</v>
      </c>
      <c r="C33" s="17">
        <f t="shared" si="5"/>
        <v>3</v>
      </c>
      <c r="D33" s="259" t="s">
        <v>222</v>
      </c>
      <c r="E33" s="439" t="s">
        <v>414</v>
      </c>
      <c r="F33" s="260">
        <v>5863</v>
      </c>
      <c r="G33" s="69">
        <v>20.485</v>
      </c>
      <c r="H33" s="69">
        <v>11.329</v>
      </c>
      <c r="I33" s="69">
        <v>0</v>
      </c>
      <c r="J33" s="69">
        <f t="shared" si="4"/>
        <v>31.814</v>
      </c>
      <c r="K33" s="53">
        <v>12.303</v>
      </c>
      <c r="L33" s="484">
        <f>IF(K33=0,0,(IF(J33/K33&gt;1,1,J33/K33)))</f>
        <v>1</v>
      </c>
      <c r="M33" s="88"/>
      <c r="N33" s="81"/>
    </row>
    <row r="34" spans="1:14" ht="21" customHeight="1">
      <c r="A34" s="453">
        <v>4</v>
      </c>
      <c r="B34" s="256" t="s">
        <v>49</v>
      </c>
      <c r="C34" s="17">
        <f t="shared" si="5"/>
        <v>4</v>
      </c>
      <c r="D34" s="121" t="s">
        <v>219</v>
      </c>
      <c r="E34" s="438" t="s">
        <v>414</v>
      </c>
      <c r="F34" s="258">
        <v>20795</v>
      </c>
      <c r="G34" s="53">
        <v>377.402</v>
      </c>
      <c r="H34" s="53">
        <v>18.892</v>
      </c>
      <c r="I34" s="53">
        <v>0</v>
      </c>
      <c r="J34" s="53">
        <f t="shared" si="4"/>
        <v>396.294</v>
      </c>
      <c r="K34" s="53">
        <v>15.711</v>
      </c>
      <c r="L34" s="484">
        <f>IF(K34=0,0,(IF(J34/K34&gt;1,1,J34/K34)))</f>
        <v>1</v>
      </c>
      <c r="M34" s="88"/>
      <c r="N34" s="81"/>
    </row>
    <row r="35" spans="1:14" ht="21" customHeight="1">
      <c r="A35" s="98">
        <v>5</v>
      </c>
      <c r="B35" s="121" t="s">
        <v>50</v>
      </c>
      <c r="C35" s="17">
        <f t="shared" si="5"/>
        <v>5</v>
      </c>
      <c r="D35" s="121" t="s">
        <v>221</v>
      </c>
      <c r="E35" s="438" t="s">
        <v>420</v>
      </c>
      <c r="F35" s="258">
        <v>19629</v>
      </c>
      <c r="G35" s="53">
        <v>35</v>
      </c>
      <c r="H35" s="53">
        <v>8.2</v>
      </c>
      <c r="I35" s="53">
        <v>8.2</v>
      </c>
      <c r="J35" s="53">
        <f t="shared" si="4"/>
        <v>51.4</v>
      </c>
      <c r="K35" s="53">
        <v>16.4</v>
      </c>
      <c r="L35" s="484">
        <f aca="true" t="shared" si="6" ref="L35:L42">IF(K35=0,0,(IF(J35/K35&gt;1,1,J35/K35)))</f>
        <v>1</v>
      </c>
      <c r="N35" s="81"/>
    </row>
    <row r="36" spans="1:14" ht="21" customHeight="1">
      <c r="A36" s="98">
        <v>6</v>
      </c>
      <c r="B36" s="10" t="s">
        <v>49</v>
      </c>
      <c r="C36" s="17">
        <f t="shared" si="5"/>
        <v>6</v>
      </c>
      <c r="D36" s="5" t="s">
        <v>253</v>
      </c>
      <c r="E36" s="47" t="s">
        <v>421</v>
      </c>
      <c r="F36" s="6">
        <v>1.432</v>
      </c>
      <c r="G36" s="53">
        <v>0.325</v>
      </c>
      <c r="H36" s="53">
        <v>0</v>
      </c>
      <c r="I36" s="53">
        <v>2.267</v>
      </c>
      <c r="J36" s="53">
        <f t="shared" si="4"/>
        <v>2.592</v>
      </c>
      <c r="K36" s="53">
        <v>1.813</v>
      </c>
      <c r="L36" s="484">
        <f t="shared" si="6"/>
        <v>1</v>
      </c>
      <c r="N36" s="81"/>
    </row>
    <row r="37" spans="1:14" ht="21" customHeight="1">
      <c r="A37" s="98">
        <v>7</v>
      </c>
      <c r="B37" s="10" t="s">
        <v>49</v>
      </c>
      <c r="C37" s="17">
        <f t="shared" si="5"/>
        <v>7</v>
      </c>
      <c r="D37" s="5" t="s">
        <v>223</v>
      </c>
      <c r="E37" s="47" t="s">
        <v>422</v>
      </c>
      <c r="F37" s="14">
        <v>703</v>
      </c>
      <c r="G37" s="53">
        <v>0.172</v>
      </c>
      <c r="H37" s="53">
        <v>1.638</v>
      </c>
      <c r="I37" s="53">
        <v>0</v>
      </c>
      <c r="J37" s="53">
        <f t="shared" si="4"/>
        <v>1.8099999999999998</v>
      </c>
      <c r="K37" s="53">
        <v>1.349</v>
      </c>
      <c r="L37" s="484">
        <f t="shared" si="6"/>
        <v>1</v>
      </c>
      <c r="N37" s="81"/>
    </row>
    <row r="38" spans="1:14" ht="21" customHeight="1">
      <c r="A38" s="98">
        <v>8</v>
      </c>
      <c r="B38" s="10" t="s">
        <v>49</v>
      </c>
      <c r="C38" s="17">
        <f t="shared" si="5"/>
        <v>8</v>
      </c>
      <c r="D38" s="5" t="s">
        <v>224</v>
      </c>
      <c r="E38" s="47" t="s">
        <v>423</v>
      </c>
      <c r="F38" s="14">
        <v>1127</v>
      </c>
      <c r="G38" s="53">
        <v>3.039</v>
      </c>
      <c r="H38" s="53">
        <v>1.777</v>
      </c>
      <c r="I38" s="53">
        <v>0</v>
      </c>
      <c r="J38" s="53">
        <f t="shared" si="4"/>
        <v>4.816</v>
      </c>
      <c r="K38" s="53">
        <v>1.637</v>
      </c>
      <c r="L38" s="484">
        <f>IF(K38=0,0,(IF(J38/K38&gt;1,1,J38/K38)))</f>
        <v>1</v>
      </c>
      <c r="N38" s="81"/>
    </row>
    <row r="39" spans="1:14" ht="21" customHeight="1">
      <c r="A39" s="98">
        <v>9</v>
      </c>
      <c r="B39" s="5" t="s">
        <v>96</v>
      </c>
      <c r="C39" s="17">
        <f t="shared" si="5"/>
        <v>9</v>
      </c>
      <c r="D39" s="5" t="s">
        <v>225</v>
      </c>
      <c r="E39" s="47" t="s">
        <v>424</v>
      </c>
      <c r="F39" s="14">
        <v>1375</v>
      </c>
      <c r="G39" s="53">
        <v>20.664</v>
      </c>
      <c r="H39" s="53">
        <v>1.291</v>
      </c>
      <c r="I39" s="53">
        <v>0</v>
      </c>
      <c r="J39" s="53">
        <f t="shared" si="4"/>
        <v>21.955000000000002</v>
      </c>
      <c r="K39" s="53">
        <v>2.127</v>
      </c>
      <c r="L39" s="484">
        <f t="shared" si="6"/>
        <v>1</v>
      </c>
      <c r="N39" s="81"/>
    </row>
    <row r="40" spans="1:14" ht="21" customHeight="1">
      <c r="A40" s="98">
        <v>10</v>
      </c>
      <c r="B40" s="5" t="s">
        <v>96</v>
      </c>
      <c r="C40" s="17">
        <f t="shared" si="5"/>
        <v>10</v>
      </c>
      <c r="D40" s="5" t="s">
        <v>226</v>
      </c>
      <c r="E40" s="47" t="s">
        <v>425</v>
      </c>
      <c r="F40" s="14">
        <v>102</v>
      </c>
      <c r="G40" s="53">
        <v>0.804</v>
      </c>
      <c r="H40" s="53">
        <v>0</v>
      </c>
      <c r="I40" s="53">
        <v>0</v>
      </c>
      <c r="J40" s="53">
        <f t="shared" si="4"/>
        <v>0.804</v>
      </c>
      <c r="K40" s="53">
        <v>0</v>
      </c>
      <c r="L40" s="484">
        <f t="shared" si="6"/>
        <v>0</v>
      </c>
      <c r="N40" s="81"/>
    </row>
    <row r="41" spans="1:14" ht="21" customHeight="1">
      <c r="A41" s="98">
        <v>11</v>
      </c>
      <c r="B41" s="5" t="s">
        <v>96</v>
      </c>
      <c r="C41" s="17">
        <f t="shared" si="5"/>
        <v>11</v>
      </c>
      <c r="D41" s="5" t="s">
        <v>262</v>
      </c>
      <c r="E41" s="47" t="s">
        <v>425</v>
      </c>
      <c r="F41" s="14">
        <v>100</v>
      </c>
      <c r="G41" s="53">
        <v>0.835</v>
      </c>
      <c r="H41" s="53">
        <v>0</v>
      </c>
      <c r="I41" s="53">
        <v>0</v>
      </c>
      <c r="J41" s="53">
        <f t="shared" si="4"/>
        <v>0.835</v>
      </c>
      <c r="K41" s="53">
        <v>0</v>
      </c>
      <c r="L41" s="484">
        <f>IF(K41=0,0,(IF(J41/K41&gt;1,1,J41/K41)))</f>
        <v>0</v>
      </c>
      <c r="N41" s="81"/>
    </row>
    <row r="42" spans="1:14" ht="21" customHeight="1">
      <c r="A42" s="98">
        <v>12</v>
      </c>
      <c r="B42" s="5" t="s">
        <v>96</v>
      </c>
      <c r="C42" s="17">
        <f t="shared" si="5"/>
        <v>12</v>
      </c>
      <c r="D42" s="5" t="s">
        <v>227</v>
      </c>
      <c r="E42" s="47" t="s">
        <v>426</v>
      </c>
      <c r="F42" s="14">
        <v>57</v>
      </c>
      <c r="G42" s="53">
        <v>0.057</v>
      </c>
      <c r="H42" s="53">
        <v>0</v>
      </c>
      <c r="I42" s="53">
        <v>0.06</v>
      </c>
      <c r="J42" s="53">
        <f t="shared" si="4"/>
        <v>0.11699999999999999</v>
      </c>
      <c r="K42" s="53">
        <v>0.087</v>
      </c>
      <c r="L42" s="484">
        <f t="shared" si="6"/>
        <v>1</v>
      </c>
      <c r="N42" s="81"/>
    </row>
    <row r="43" spans="1:14" ht="21" customHeight="1">
      <c r="A43" s="98">
        <v>13</v>
      </c>
      <c r="B43" s="10" t="s">
        <v>49</v>
      </c>
      <c r="C43" s="17">
        <f t="shared" si="5"/>
        <v>13</v>
      </c>
      <c r="D43" s="5" t="s">
        <v>228</v>
      </c>
      <c r="E43" s="47" t="s">
        <v>414</v>
      </c>
      <c r="F43" s="14">
        <v>651</v>
      </c>
      <c r="G43" s="53">
        <v>377.402</v>
      </c>
      <c r="H43" s="53">
        <v>0.32</v>
      </c>
      <c r="I43" s="53">
        <v>0</v>
      </c>
      <c r="J43" s="53">
        <f t="shared" si="4"/>
        <v>377.722</v>
      </c>
      <c r="K43" s="53">
        <v>0</v>
      </c>
      <c r="L43" s="484">
        <f aca="true" t="shared" si="7" ref="L43:L55">IF(K43=0,0,(IF(J43/K43&gt;1,1,J43/K43)))</f>
        <v>0</v>
      </c>
      <c r="N43" s="81"/>
    </row>
    <row r="44" spans="1:14" ht="21" customHeight="1">
      <c r="A44" s="98">
        <v>14</v>
      </c>
      <c r="B44" s="5" t="s">
        <v>50</v>
      </c>
      <c r="C44" s="17">
        <f t="shared" si="5"/>
        <v>14</v>
      </c>
      <c r="D44" s="5" t="s">
        <v>229</v>
      </c>
      <c r="E44" s="47" t="s">
        <v>427</v>
      </c>
      <c r="F44" s="14">
        <v>1377</v>
      </c>
      <c r="G44" s="53">
        <v>9.28</v>
      </c>
      <c r="H44" s="53">
        <v>0.306</v>
      </c>
      <c r="I44" s="53">
        <v>0.275</v>
      </c>
      <c r="J44" s="53">
        <f t="shared" si="4"/>
        <v>9.860999999999999</v>
      </c>
      <c r="K44" s="53">
        <v>0</v>
      </c>
      <c r="L44" s="484">
        <f t="shared" si="7"/>
        <v>0</v>
      </c>
      <c r="N44" s="81"/>
    </row>
    <row r="45" spans="1:14" ht="21" customHeight="1">
      <c r="A45" s="98">
        <v>15</v>
      </c>
      <c r="B45" s="5" t="s">
        <v>44</v>
      </c>
      <c r="C45" s="17">
        <f t="shared" si="5"/>
        <v>15</v>
      </c>
      <c r="D45" s="5" t="s">
        <v>230</v>
      </c>
      <c r="E45" s="47" t="s">
        <v>336</v>
      </c>
      <c r="F45" s="261">
        <v>1.119</v>
      </c>
      <c r="G45" s="53">
        <v>11.48</v>
      </c>
      <c r="H45" s="53">
        <v>2.688</v>
      </c>
      <c r="I45" s="53">
        <v>0</v>
      </c>
      <c r="J45" s="53">
        <f t="shared" si="4"/>
        <v>14.168000000000001</v>
      </c>
      <c r="K45" s="53">
        <v>1.558</v>
      </c>
      <c r="L45" s="484">
        <f t="shared" si="7"/>
        <v>1</v>
      </c>
      <c r="N45" s="81"/>
    </row>
    <row r="46" spans="1:14" ht="21" customHeight="1">
      <c r="A46" s="98">
        <v>16</v>
      </c>
      <c r="B46" s="5" t="s">
        <v>49</v>
      </c>
      <c r="C46" s="17">
        <f t="shared" si="5"/>
        <v>16</v>
      </c>
      <c r="D46" s="5" t="s">
        <v>231</v>
      </c>
      <c r="E46" s="47" t="s">
        <v>428</v>
      </c>
      <c r="F46" s="14">
        <v>439</v>
      </c>
      <c r="G46" s="53">
        <v>0.192</v>
      </c>
      <c r="H46" s="53"/>
      <c r="I46" s="53">
        <v>0.256</v>
      </c>
      <c r="J46" s="53">
        <f t="shared" si="4"/>
        <v>0.448</v>
      </c>
      <c r="K46" s="53">
        <v>2.092</v>
      </c>
      <c r="L46" s="484">
        <f t="shared" si="7"/>
        <v>0.2141491395793499</v>
      </c>
      <c r="N46" s="81"/>
    </row>
    <row r="47" spans="1:14" ht="21" customHeight="1">
      <c r="A47" s="98">
        <v>17</v>
      </c>
      <c r="B47" s="5" t="s">
        <v>50</v>
      </c>
      <c r="C47" s="17">
        <f t="shared" si="5"/>
        <v>17</v>
      </c>
      <c r="D47" s="5" t="s">
        <v>232</v>
      </c>
      <c r="E47" s="47" t="s">
        <v>429</v>
      </c>
      <c r="F47" s="14">
        <v>1386</v>
      </c>
      <c r="G47" s="53">
        <v>0.841</v>
      </c>
      <c r="H47" s="53">
        <v>0.01</v>
      </c>
      <c r="I47" s="53">
        <v>0.298</v>
      </c>
      <c r="J47" s="53">
        <f t="shared" si="4"/>
        <v>1.149</v>
      </c>
      <c r="K47" s="53">
        <v>1.24</v>
      </c>
      <c r="L47" s="484">
        <f t="shared" si="7"/>
        <v>0.9266129032258065</v>
      </c>
      <c r="N47" s="81"/>
    </row>
    <row r="48" spans="1:14" ht="21" customHeight="1" thickBot="1">
      <c r="A48" s="98">
        <v>18</v>
      </c>
      <c r="B48" s="5" t="s">
        <v>49</v>
      </c>
      <c r="C48" s="17">
        <f t="shared" si="5"/>
        <v>18</v>
      </c>
      <c r="D48" s="5" t="s">
        <v>233</v>
      </c>
      <c r="E48" s="47" t="s">
        <v>430</v>
      </c>
      <c r="F48" s="14">
        <v>0.2</v>
      </c>
      <c r="G48" s="53">
        <v>0.2</v>
      </c>
      <c r="H48" s="53">
        <v>1.5</v>
      </c>
      <c r="I48" s="53">
        <v>0</v>
      </c>
      <c r="J48" s="53">
        <f t="shared" si="4"/>
        <v>1.7</v>
      </c>
      <c r="K48" s="53">
        <f>+I48+H48</f>
        <v>1.5</v>
      </c>
      <c r="L48" s="485">
        <f t="shared" si="7"/>
        <v>1</v>
      </c>
      <c r="N48" s="81"/>
    </row>
    <row r="49" spans="1:14" ht="27" customHeight="1" thickTop="1">
      <c r="A49" s="96"/>
      <c r="B49" s="116" t="s">
        <v>83</v>
      </c>
      <c r="C49" s="544" t="s">
        <v>136</v>
      </c>
      <c r="D49" s="545"/>
      <c r="E49" s="97"/>
      <c r="F49" s="46">
        <f aca="true" t="shared" si="8" ref="F49:K49">SUM(F31:F48)</f>
        <v>61807.751</v>
      </c>
      <c r="G49" s="97">
        <f t="shared" si="8"/>
        <v>867.001</v>
      </c>
      <c r="H49" s="97">
        <f t="shared" si="8"/>
        <v>51.63399999999999</v>
      </c>
      <c r="I49" s="97">
        <f t="shared" si="8"/>
        <v>11.436</v>
      </c>
      <c r="J49" s="97">
        <f t="shared" si="8"/>
        <v>930.0709999999999</v>
      </c>
      <c r="K49" s="97">
        <f t="shared" si="8"/>
        <v>72.961</v>
      </c>
      <c r="L49" s="482">
        <f t="shared" si="7"/>
        <v>1</v>
      </c>
      <c r="M49" s="78">
        <f aca="true" t="shared" si="9" ref="M49:M54">J49/K49</f>
        <v>12.747508943134003</v>
      </c>
      <c r="N49" s="81">
        <f aca="true" t="shared" si="10" ref="N49:N54">J49/K49</f>
        <v>12.747508943134003</v>
      </c>
    </row>
    <row r="50" spans="1:14" ht="27" customHeight="1">
      <c r="A50" s="98"/>
      <c r="B50" s="117" t="s">
        <v>81</v>
      </c>
      <c r="C50" s="551" t="s">
        <v>82</v>
      </c>
      <c r="D50" s="552"/>
      <c r="E50" s="6"/>
      <c r="F50" s="14">
        <f aca="true" t="shared" si="11" ref="F50:K50">+F29</f>
        <v>51572</v>
      </c>
      <c r="G50" s="6">
        <f t="shared" si="11"/>
        <v>47.407</v>
      </c>
      <c r="H50" s="6">
        <f t="shared" si="11"/>
        <v>29.882</v>
      </c>
      <c r="I50" s="6">
        <f t="shared" si="11"/>
        <v>9.317</v>
      </c>
      <c r="J50" s="6">
        <f t="shared" si="11"/>
        <v>86.606</v>
      </c>
      <c r="K50" s="6">
        <f t="shared" si="11"/>
        <v>33.033</v>
      </c>
      <c r="L50" s="484">
        <f t="shared" si="7"/>
        <v>1</v>
      </c>
      <c r="M50" s="78">
        <f t="shared" si="9"/>
        <v>2.621802439984258</v>
      </c>
      <c r="N50" s="81">
        <f t="shared" si="10"/>
        <v>2.621802439984258</v>
      </c>
    </row>
    <row r="51" spans="1:14" ht="27" customHeight="1">
      <c r="A51" s="98"/>
      <c r="B51" s="117" t="s">
        <v>79</v>
      </c>
      <c r="C51" s="551" t="s">
        <v>80</v>
      </c>
      <c r="D51" s="552"/>
      <c r="E51" s="6"/>
      <c r="F51" s="14">
        <f>+'BENG.SOLO'!F55</f>
        <v>46831.5</v>
      </c>
      <c r="G51" s="6">
        <f>+'BENG.SOLO'!G55</f>
        <v>42.794000000000004</v>
      </c>
      <c r="H51" s="6">
        <f>+'BENG.SOLO'!H55</f>
        <v>27.349800000000005</v>
      </c>
      <c r="I51" s="6">
        <f>+'BENG.SOLO'!I55</f>
        <v>15.539</v>
      </c>
      <c r="J51" s="6">
        <f>+'BENG.SOLO'!J55</f>
        <v>87.25779999999999</v>
      </c>
      <c r="K51" s="6">
        <f>+'BENG.SOLO'!K55</f>
        <v>36.22199999999999</v>
      </c>
      <c r="L51" s="484">
        <f t="shared" si="7"/>
        <v>1</v>
      </c>
      <c r="M51" s="78">
        <f t="shared" si="9"/>
        <v>2.4089724476837286</v>
      </c>
      <c r="N51" s="81">
        <f t="shared" si="10"/>
        <v>2.4089724476837286</v>
      </c>
    </row>
    <row r="52" spans="1:14" ht="27" customHeight="1">
      <c r="A52" s="98"/>
      <c r="B52" s="117" t="s">
        <v>77</v>
      </c>
      <c r="C52" s="551" t="s">
        <v>78</v>
      </c>
      <c r="D52" s="552"/>
      <c r="E52" s="47"/>
      <c r="F52" s="14">
        <f>+'PC-JT-SL'!F71</f>
        <v>80163</v>
      </c>
      <c r="G52" s="47">
        <f>+'PC-JT-SL'!G71</f>
        <v>209.41500000000002</v>
      </c>
      <c r="H52" s="6">
        <f>+'PC-JT-SL'!H71</f>
        <v>15.683</v>
      </c>
      <c r="I52" s="6">
        <f>+'PC-JT-SL'!I71</f>
        <v>38.355000000000004</v>
      </c>
      <c r="J52" s="6">
        <f>+'PC-JT-SL'!J71</f>
        <v>263.45300000000003</v>
      </c>
      <c r="K52" s="6">
        <f>+'PC-JT-SL'!K71</f>
        <v>69.842</v>
      </c>
      <c r="L52" s="484">
        <f t="shared" si="7"/>
        <v>1</v>
      </c>
      <c r="M52" s="78">
        <f t="shared" si="9"/>
        <v>3.7721285186563964</v>
      </c>
      <c r="N52" s="81">
        <f t="shared" si="10"/>
        <v>3.7721285186563964</v>
      </c>
    </row>
    <row r="53" spans="1:14" ht="27" customHeight="1">
      <c r="A53" s="98"/>
      <c r="B53" s="117" t="s">
        <v>75</v>
      </c>
      <c r="C53" s="551" t="s">
        <v>76</v>
      </c>
      <c r="D53" s="552"/>
      <c r="E53" s="6"/>
      <c r="F53" s="14">
        <f>+'PC-JT-SL'!F55</f>
        <v>43824.06</v>
      </c>
      <c r="G53" s="6">
        <f>+'PC-JT-SL'!G55</f>
        <v>136.7454</v>
      </c>
      <c r="H53" s="6">
        <f>+'PC-JT-SL'!H55</f>
        <v>41.538000000000004</v>
      </c>
      <c r="I53" s="6">
        <f>+'PC-JT-SL'!I55</f>
        <v>16.727999999999998</v>
      </c>
      <c r="J53" s="6">
        <f>+'PC-JT-SL'!J55</f>
        <v>195.01139999999998</v>
      </c>
      <c r="K53" s="6">
        <f>+'PC-JT-SL'!K55</f>
        <v>49.18700000000001</v>
      </c>
      <c r="L53" s="484">
        <f t="shared" si="7"/>
        <v>1</v>
      </c>
      <c r="M53" s="78">
        <f t="shared" si="9"/>
        <v>3.964693923191086</v>
      </c>
      <c r="N53" s="81">
        <f t="shared" si="10"/>
        <v>3.964693923191086</v>
      </c>
    </row>
    <row r="54" spans="1:14" ht="27" customHeight="1" thickBot="1">
      <c r="A54" s="453"/>
      <c r="B54" s="454" t="s">
        <v>73</v>
      </c>
      <c r="C54" s="549" t="s">
        <v>74</v>
      </c>
      <c r="D54" s="550"/>
      <c r="E54" s="13"/>
      <c r="F54" s="15">
        <f>+'PC-JT-SL'!F42</f>
        <v>55144.16499999999</v>
      </c>
      <c r="G54" s="13">
        <f>+'PC-JT-SL'!G42</f>
        <v>307.205</v>
      </c>
      <c r="H54" s="13">
        <f>+'PC-JT-SL'!H42</f>
        <v>49.675</v>
      </c>
      <c r="I54" s="13">
        <f>+'PC-JT-SL'!I42</f>
        <v>58.75899999999999</v>
      </c>
      <c r="J54" s="13">
        <f>+'PC-JT-SL'!J42</f>
        <v>415.639</v>
      </c>
      <c r="K54" s="13">
        <f>+'PC-JT-SL'!K42</f>
        <v>108.25600000000001</v>
      </c>
      <c r="L54" s="485">
        <f t="shared" si="7"/>
        <v>1</v>
      </c>
      <c r="M54" s="78">
        <f t="shared" si="9"/>
        <v>3.8394084392550987</v>
      </c>
      <c r="N54" s="81">
        <f t="shared" si="10"/>
        <v>3.8394084392550987</v>
      </c>
    </row>
    <row r="55" spans="1:14" ht="33" customHeight="1" thickBot="1">
      <c r="A55" s="66"/>
      <c r="B55" s="553" t="s">
        <v>97</v>
      </c>
      <c r="C55" s="553"/>
      <c r="D55" s="553"/>
      <c r="E55" s="455"/>
      <c r="F55" s="456">
        <f aca="true" t="shared" si="12" ref="F55:K55">SUM(F49:F54)</f>
        <v>339342.47599999997</v>
      </c>
      <c r="G55" s="455">
        <f t="shared" si="12"/>
        <v>1610.5674</v>
      </c>
      <c r="H55" s="455">
        <f t="shared" si="12"/>
        <v>215.7618</v>
      </c>
      <c r="I55" s="455">
        <f t="shared" si="12"/>
        <v>150.134</v>
      </c>
      <c r="J55" s="455">
        <f t="shared" si="12"/>
        <v>1978.0382</v>
      </c>
      <c r="K55" s="457">
        <f t="shared" si="12"/>
        <v>369.50100000000003</v>
      </c>
      <c r="L55" s="443">
        <f t="shared" si="7"/>
        <v>1</v>
      </c>
      <c r="N55" s="82"/>
    </row>
    <row r="56" spans="1:12" ht="21" customHeight="1" thickBot="1">
      <c r="A56" s="42"/>
      <c r="B56" s="180" t="s">
        <v>173</v>
      </c>
      <c r="C56" s="1"/>
      <c r="D56" s="183" t="s">
        <v>192</v>
      </c>
      <c r="E56" s="183"/>
      <c r="F56" s="118"/>
      <c r="G56" s="1"/>
      <c r="H56" s="43"/>
      <c r="I56" s="1"/>
      <c r="J56" s="1"/>
      <c r="K56" s="1"/>
      <c r="L56" s="120"/>
    </row>
    <row r="57" spans="1:12" ht="16.5" customHeight="1" thickBot="1">
      <c r="A57" s="42"/>
      <c r="B57" s="1"/>
      <c r="C57" s="1"/>
      <c r="D57" s="183" t="s">
        <v>191</v>
      </c>
      <c r="E57" s="183"/>
      <c r="F57" s="178"/>
      <c r="G57" s="181" t="s">
        <v>190</v>
      </c>
      <c r="H57" s="181"/>
      <c r="I57" s="181"/>
      <c r="J57" s="1"/>
      <c r="K57" s="120"/>
      <c r="L57" s="120"/>
    </row>
    <row r="58" spans="1:12" ht="12.75" customHeight="1" thickBot="1">
      <c r="A58" s="543"/>
      <c r="B58" s="543"/>
      <c r="C58" s="1"/>
      <c r="D58" s="183" t="s">
        <v>176</v>
      </c>
      <c r="E58" s="183"/>
      <c r="F58" s="111"/>
      <c r="G58" s="182"/>
      <c r="H58" s="182"/>
      <c r="I58" s="182"/>
      <c r="J58" s="1"/>
      <c r="K58" s="120"/>
      <c r="L58" s="120"/>
    </row>
    <row r="59" spans="1:12" ht="16.5" customHeight="1" thickBot="1">
      <c r="A59" s="42"/>
      <c r="B59" s="1"/>
      <c r="C59" s="1"/>
      <c r="D59" s="111"/>
      <c r="E59" s="111"/>
      <c r="F59" s="189"/>
      <c r="G59" s="181" t="s">
        <v>187</v>
      </c>
      <c r="H59" s="182"/>
      <c r="I59" s="182"/>
      <c r="J59" s="1"/>
      <c r="K59" s="43"/>
      <c r="L59" s="43"/>
    </row>
    <row r="60" spans="4:9" ht="6.75" customHeight="1" thickBot="1">
      <c r="D60" s="111"/>
      <c r="E60" s="111"/>
      <c r="F60" s="111"/>
      <c r="G60" s="182"/>
      <c r="H60" s="182"/>
      <c r="I60" s="182"/>
    </row>
    <row r="61" spans="6:9" ht="18.75" customHeight="1" thickBot="1">
      <c r="F61" s="188"/>
      <c r="G61" s="181" t="s">
        <v>189</v>
      </c>
      <c r="H61" s="182"/>
      <c r="I61" s="182"/>
    </row>
    <row r="62" spans="6:9" ht="6.75" customHeight="1" thickBot="1">
      <c r="F62" s="111"/>
      <c r="G62" s="182"/>
      <c r="H62" s="182"/>
      <c r="I62" s="182"/>
    </row>
    <row r="63" spans="6:9" ht="18.75" customHeight="1" thickBot="1">
      <c r="F63" s="190"/>
      <c r="G63" s="181" t="s">
        <v>188</v>
      </c>
      <c r="H63" s="182"/>
      <c r="I63" s="182"/>
    </row>
    <row r="64" spans="7:9" ht="14.25">
      <c r="G64" s="143"/>
      <c r="H64" s="143"/>
      <c r="I64" s="143"/>
    </row>
    <row r="65" spans="8:9" ht="14.25">
      <c r="H65" s="143"/>
      <c r="I65" s="143"/>
    </row>
  </sheetData>
  <sheetProtection/>
  <mergeCells count="20">
    <mergeCell ref="C51:D51"/>
    <mergeCell ref="B30:D30"/>
    <mergeCell ref="A2:L2"/>
    <mergeCell ref="A4:L4"/>
    <mergeCell ref="A6:A8"/>
    <mergeCell ref="D6:D8"/>
    <mergeCell ref="H6:I6"/>
    <mergeCell ref="A3:L3"/>
    <mergeCell ref="L7:L8"/>
    <mergeCell ref="B6:C8"/>
    <mergeCell ref="G10:J10"/>
    <mergeCell ref="B10:D10"/>
    <mergeCell ref="A58:B58"/>
    <mergeCell ref="C49:D49"/>
    <mergeCell ref="B29:D29"/>
    <mergeCell ref="C54:D54"/>
    <mergeCell ref="C50:D50"/>
    <mergeCell ref="B55:D55"/>
    <mergeCell ref="C53:D53"/>
    <mergeCell ref="C52:D52"/>
  </mergeCells>
  <printOptions horizontalCentered="1" verticalCentered="1"/>
  <pageMargins left="0" right="0" top="0" bottom="1.25" header="0" footer="0"/>
  <pageSetup horizontalDpi="300" verticalDpi="300" orientation="portrait" scale="50" r:id="rId2"/>
  <colBreaks count="1" manualBreakCount="1">
    <brk id="1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I100"/>
  <sheetViews>
    <sheetView zoomScale="130" zoomScaleNormal="130" zoomScalePageLayoutView="0" workbookViewId="0" topLeftCell="C7">
      <selection activeCell="K71" sqref="K71"/>
    </sheetView>
  </sheetViews>
  <sheetFormatPr defaultColWidth="9.140625" defaultRowHeight="12.75"/>
  <cols>
    <col min="1" max="1" width="7.421875" style="0" customWidth="1"/>
    <col min="2" max="2" width="24.28125" style="0" customWidth="1"/>
    <col min="3" max="3" width="0.13671875" style="0" customWidth="1"/>
    <col min="4" max="4" width="22.57421875" style="0" customWidth="1"/>
    <col min="5" max="5" width="17.8515625" style="0" customWidth="1"/>
    <col min="6" max="6" width="10.00390625" style="0" customWidth="1"/>
    <col min="7" max="7" width="13.7109375" style="0" customWidth="1"/>
    <col min="8" max="8" width="12.8515625" style="0" customWidth="1"/>
    <col min="9" max="9" width="10.57421875" style="0" customWidth="1"/>
    <col min="10" max="10" width="11.421875" style="0" customWidth="1"/>
    <col min="11" max="11" width="13.140625" style="0" customWidth="1"/>
    <col min="12" max="12" width="14.421875" style="0" customWidth="1"/>
    <col min="13" max="14" width="16.140625" style="0" customWidth="1"/>
    <col min="15" max="15" width="11.140625" style="0" bestFit="1" customWidth="1"/>
    <col min="50" max="50" width="5.00390625" style="0" customWidth="1"/>
    <col min="51" max="51" width="19.28125" style="0" customWidth="1"/>
    <col min="52" max="52" width="17.57421875" style="0" customWidth="1"/>
    <col min="53" max="53" width="19.7109375" style="0" customWidth="1"/>
    <col min="55" max="55" width="10.421875" style="0" customWidth="1"/>
    <col min="58" max="58" width="10.28125" style="0" customWidth="1"/>
    <col min="59" max="59" width="10.421875" style="0" customWidth="1"/>
  </cols>
  <sheetData>
    <row r="1" spans="4:61" ht="22.5" customHeight="1">
      <c r="D1" s="401" t="s">
        <v>334</v>
      </c>
      <c r="E1" s="401"/>
      <c r="F1" s="401"/>
      <c r="AY1" s="301"/>
      <c r="AZ1" s="575" t="s">
        <v>263</v>
      </c>
      <c r="BA1" s="575"/>
      <c r="BB1" s="575"/>
      <c r="BC1" s="575"/>
      <c r="BD1" s="575"/>
      <c r="BE1" s="575"/>
      <c r="BF1" s="575"/>
      <c r="BG1" s="576"/>
      <c r="BH1" s="576"/>
      <c r="BI1" s="576"/>
    </row>
    <row r="2" spans="10:61" ht="22.5" customHeight="1">
      <c r="J2" s="290"/>
      <c r="K2" s="290"/>
      <c r="L2" s="291"/>
      <c r="AX2" s="301"/>
      <c r="AY2" s="301"/>
      <c r="AZ2" s="575" t="s">
        <v>264</v>
      </c>
      <c r="BA2" s="575"/>
      <c r="BB2" s="575"/>
      <c r="BC2" s="575"/>
      <c r="BD2" s="575"/>
      <c r="BE2" s="575"/>
      <c r="BF2" s="575"/>
      <c r="BG2" s="301"/>
      <c r="BH2" s="301"/>
      <c r="BI2" s="301"/>
    </row>
    <row r="3" spans="1:61" ht="24.75">
      <c r="A3" s="498" t="s">
        <v>254</v>
      </c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166"/>
      <c r="N3" s="27"/>
      <c r="AX3" s="301"/>
      <c r="AY3" s="301"/>
      <c r="AZ3" s="575" t="s">
        <v>265</v>
      </c>
      <c r="BA3" s="575"/>
      <c r="BB3" s="575"/>
      <c r="BC3" s="575"/>
      <c r="BD3" s="575"/>
      <c r="BE3" s="575"/>
      <c r="BF3" s="575"/>
      <c r="BG3" s="301"/>
      <c r="BH3" s="301"/>
      <c r="BI3" s="301"/>
    </row>
    <row r="4" spans="1:61" ht="24.75">
      <c r="A4" s="498" t="s">
        <v>144</v>
      </c>
      <c r="B4" s="498"/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166"/>
      <c r="N4" s="27"/>
      <c r="AX4" s="301"/>
      <c r="AY4" s="301"/>
      <c r="AZ4" s="575" t="s">
        <v>266</v>
      </c>
      <c r="BA4" s="575"/>
      <c r="BB4" s="575"/>
      <c r="BC4" s="575"/>
      <c r="BD4" s="575"/>
      <c r="BE4" s="575"/>
      <c r="BF4" s="575"/>
      <c r="BG4" s="301"/>
      <c r="BH4" s="301"/>
      <c r="BI4" s="301"/>
    </row>
    <row r="5" spans="1:14" ht="22.5" thickBot="1">
      <c r="A5" s="498" t="s">
        <v>440</v>
      </c>
      <c r="B5" s="498"/>
      <c r="C5" s="498"/>
      <c r="D5" s="498"/>
      <c r="E5" s="498"/>
      <c r="F5" s="498"/>
      <c r="G5" s="498"/>
      <c r="H5" s="498"/>
      <c r="I5" s="498"/>
      <c r="J5" s="498"/>
      <c r="K5" s="498"/>
      <c r="L5" s="498"/>
      <c r="M5" s="51"/>
      <c r="N5" s="154"/>
    </row>
    <row r="6" spans="1:61" ht="15.75" customHeight="1" thickBot="1">
      <c r="A6" s="1" t="s">
        <v>72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7"/>
      <c r="AX6" s="577" t="s">
        <v>267</v>
      </c>
      <c r="AY6" s="302" t="s">
        <v>4</v>
      </c>
      <c r="AZ6" s="302" t="s">
        <v>268</v>
      </c>
      <c r="BA6" s="302" t="s">
        <v>269</v>
      </c>
      <c r="BB6" s="303" t="s">
        <v>270</v>
      </c>
      <c r="BC6" s="302" t="s">
        <v>271</v>
      </c>
      <c r="BD6" s="580" t="s">
        <v>272</v>
      </c>
      <c r="BE6" s="581"/>
      <c r="BF6" s="302" t="s">
        <v>273</v>
      </c>
      <c r="BG6" s="302" t="s">
        <v>274</v>
      </c>
      <c r="BH6" s="302" t="s">
        <v>275</v>
      </c>
      <c r="BI6" s="582" t="s">
        <v>276</v>
      </c>
    </row>
    <row r="7" spans="1:61" ht="17.25" customHeight="1" thickBot="1" thickTop="1">
      <c r="A7" s="520" t="s">
        <v>0</v>
      </c>
      <c r="B7" s="530" t="s">
        <v>95</v>
      </c>
      <c r="C7" s="531"/>
      <c r="D7" s="522" t="s">
        <v>216</v>
      </c>
      <c r="E7" s="144"/>
      <c r="F7" s="144" t="s">
        <v>51</v>
      </c>
      <c r="G7" s="146" t="s">
        <v>57</v>
      </c>
      <c r="H7" s="524" t="s">
        <v>54</v>
      </c>
      <c r="I7" s="525"/>
      <c r="J7" s="150" t="s">
        <v>57</v>
      </c>
      <c r="K7" s="152" t="s">
        <v>57</v>
      </c>
      <c r="L7" s="155" t="s">
        <v>60</v>
      </c>
      <c r="M7" s="244"/>
      <c r="N7" s="86" t="s">
        <v>162</v>
      </c>
      <c r="AX7" s="578"/>
      <c r="AY7" s="305" t="s">
        <v>277</v>
      </c>
      <c r="AZ7" s="305" t="s">
        <v>278</v>
      </c>
      <c r="BA7" s="305" t="s">
        <v>279</v>
      </c>
      <c r="BB7" s="306" t="s">
        <v>279</v>
      </c>
      <c r="BC7" s="305" t="s">
        <v>280</v>
      </c>
      <c r="BD7" s="582" t="s">
        <v>281</v>
      </c>
      <c r="BE7" s="582" t="s">
        <v>282</v>
      </c>
      <c r="BF7" s="305" t="s">
        <v>280</v>
      </c>
      <c r="BG7" s="305" t="s">
        <v>280</v>
      </c>
      <c r="BH7" s="305" t="s">
        <v>61</v>
      </c>
      <c r="BI7" s="578"/>
    </row>
    <row r="8" spans="1:61" ht="16.5" thickBot="1">
      <c r="A8" s="521"/>
      <c r="B8" s="532"/>
      <c r="C8" s="533"/>
      <c r="D8" s="523"/>
      <c r="E8" s="145" t="s">
        <v>329</v>
      </c>
      <c r="F8" s="145" t="s">
        <v>52</v>
      </c>
      <c r="G8" s="147" t="s">
        <v>62</v>
      </c>
      <c r="H8" s="148" t="s">
        <v>55</v>
      </c>
      <c r="I8" s="149" t="s">
        <v>56</v>
      </c>
      <c r="J8" s="151" t="s">
        <v>58</v>
      </c>
      <c r="K8" s="153" t="s">
        <v>59</v>
      </c>
      <c r="L8" s="536" t="s">
        <v>61</v>
      </c>
      <c r="M8" s="263"/>
      <c r="N8" s="86" t="s">
        <v>160</v>
      </c>
      <c r="AX8" s="579"/>
      <c r="AY8" s="307" t="s">
        <v>283</v>
      </c>
      <c r="AZ8" s="308"/>
      <c r="BA8" s="307"/>
      <c r="BB8" s="309" t="s">
        <v>284</v>
      </c>
      <c r="BC8" s="308"/>
      <c r="BD8" s="579"/>
      <c r="BE8" s="579"/>
      <c r="BF8" s="308"/>
      <c r="BG8" s="308"/>
      <c r="BH8" s="308"/>
      <c r="BI8" s="579"/>
    </row>
    <row r="9" spans="1:61" ht="18.75" thickBot="1">
      <c r="A9" s="521"/>
      <c r="B9" s="534"/>
      <c r="C9" s="535"/>
      <c r="D9" s="523"/>
      <c r="E9" s="400"/>
      <c r="F9" s="145" t="s">
        <v>53</v>
      </c>
      <c r="G9" s="158" t="s">
        <v>98</v>
      </c>
      <c r="H9" s="159" t="s">
        <v>98</v>
      </c>
      <c r="I9" s="160" t="s">
        <v>98</v>
      </c>
      <c r="J9" s="156" t="s">
        <v>98</v>
      </c>
      <c r="K9" s="157" t="s">
        <v>98</v>
      </c>
      <c r="L9" s="537"/>
      <c r="M9" s="243"/>
      <c r="N9" s="27"/>
      <c r="AN9" s="281"/>
      <c r="AX9" s="310">
        <v>1</v>
      </c>
      <c r="AY9" s="310">
        <v>2</v>
      </c>
      <c r="AZ9" s="310">
        <v>3</v>
      </c>
      <c r="BA9" s="310">
        <v>4</v>
      </c>
      <c r="BB9" s="304">
        <v>5</v>
      </c>
      <c r="BC9" s="310">
        <v>12</v>
      </c>
      <c r="BD9" s="310">
        <v>13</v>
      </c>
      <c r="BE9" s="310">
        <v>14</v>
      </c>
      <c r="BF9" s="310" t="s">
        <v>285</v>
      </c>
      <c r="BG9" s="310">
        <v>16</v>
      </c>
      <c r="BH9" s="310" t="s">
        <v>286</v>
      </c>
      <c r="BI9" s="310">
        <v>18</v>
      </c>
    </row>
    <row r="10" spans="1:61" ht="16.5" thickBot="1">
      <c r="A10" s="382">
        <v>1</v>
      </c>
      <c r="B10" s="383">
        <v>2</v>
      </c>
      <c r="C10" s="384"/>
      <c r="D10" s="385">
        <v>3</v>
      </c>
      <c r="E10" s="385"/>
      <c r="F10" s="385">
        <v>4</v>
      </c>
      <c r="G10" s="385">
        <v>5</v>
      </c>
      <c r="H10" s="385">
        <v>6</v>
      </c>
      <c r="I10" s="385">
        <v>7</v>
      </c>
      <c r="J10" s="385" t="s">
        <v>64</v>
      </c>
      <c r="K10" s="385">
        <v>9</v>
      </c>
      <c r="L10" s="386">
        <v>10</v>
      </c>
      <c r="M10" s="244"/>
      <c r="N10" s="27"/>
      <c r="AX10" s="311"/>
      <c r="AY10" s="312"/>
      <c r="AZ10" s="305"/>
      <c r="BA10" s="305"/>
      <c r="BB10" s="306"/>
      <c r="BC10" s="305"/>
      <c r="BD10" s="305"/>
      <c r="BE10" s="305"/>
      <c r="BF10" s="305"/>
      <c r="BG10" s="305"/>
      <c r="BH10" s="305"/>
      <c r="BI10" s="305"/>
    </row>
    <row r="11" spans="1:61" ht="27" customHeight="1" thickBot="1">
      <c r="A11" s="393" t="s">
        <v>73</v>
      </c>
      <c r="B11" s="569" t="s">
        <v>74</v>
      </c>
      <c r="C11" s="570"/>
      <c r="D11" s="570"/>
      <c r="E11" s="412"/>
      <c r="F11" s="394"/>
      <c r="G11" s="394"/>
      <c r="H11" s="394"/>
      <c r="I11" s="394"/>
      <c r="J11" s="394"/>
      <c r="K11" s="394"/>
      <c r="L11" s="395"/>
      <c r="M11" s="167"/>
      <c r="N11" s="27"/>
      <c r="AX11" s="313">
        <v>1</v>
      </c>
      <c r="AY11" s="314" t="s">
        <v>287</v>
      </c>
      <c r="AZ11" s="314" t="s">
        <v>288</v>
      </c>
      <c r="BA11" s="315" t="s">
        <v>289</v>
      </c>
      <c r="BB11" s="316">
        <v>3040</v>
      </c>
      <c r="BC11" s="317">
        <v>1.6192</v>
      </c>
      <c r="BD11" s="318">
        <v>2.311</v>
      </c>
      <c r="BE11" s="319"/>
      <c r="BF11" s="318">
        <f>BC11+BD11+BE11</f>
        <v>3.9302</v>
      </c>
      <c r="BG11" s="320">
        <f>BD11</f>
        <v>2.311</v>
      </c>
      <c r="BH11" s="321">
        <f>BD11/BG11</f>
        <v>1</v>
      </c>
      <c r="BI11" s="322"/>
    </row>
    <row r="12" spans="1:61" ht="22.5" customHeight="1">
      <c r="A12" s="405">
        <v>1</v>
      </c>
      <c r="B12" s="387" t="s">
        <v>8</v>
      </c>
      <c r="C12" s="280"/>
      <c r="D12" s="388" t="s">
        <v>218</v>
      </c>
      <c r="E12" s="415" t="s">
        <v>330</v>
      </c>
      <c r="F12" s="397">
        <v>3.04</v>
      </c>
      <c r="G12" s="389">
        <v>2.473</v>
      </c>
      <c r="H12" s="390">
        <v>3.369</v>
      </c>
      <c r="I12" s="460">
        <v>0</v>
      </c>
      <c r="J12" s="390">
        <f>G12+H12+I12</f>
        <v>5.8420000000000005</v>
      </c>
      <c r="K12" s="391">
        <v>3.369</v>
      </c>
      <c r="L12" s="392">
        <f>IF(K12=0,0,(IF(J12/K12&gt;1,1,J12/K12)))</f>
        <v>1</v>
      </c>
      <c r="M12" s="168"/>
      <c r="N12" s="87"/>
      <c r="O12" s="81">
        <f>+J12/K12</f>
        <v>1.7340457108934402</v>
      </c>
      <c r="AX12" s="323"/>
      <c r="AY12" s="324"/>
      <c r="AZ12" s="324" t="s">
        <v>290</v>
      </c>
      <c r="BA12" s="325"/>
      <c r="BB12" s="326"/>
      <c r="BC12" s="327"/>
      <c r="BD12" s="328"/>
      <c r="BE12" s="329"/>
      <c r="BF12" s="328"/>
      <c r="BG12" s="330"/>
      <c r="BH12" s="321"/>
      <c r="BI12" s="331"/>
    </row>
    <row r="13" spans="1:61" ht="22.5" customHeight="1">
      <c r="A13" s="406">
        <f aca="true" t="shared" si="0" ref="A13:A41">+A12+1</f>
        <v>2</v>
      </c>
      <c r="B13" s="278" t="s">
        <v>8</v>
      </c>
      <c r="C13" s="280"/>
      <c r="D13" s="121" t="s">
        <v>66</v>
      </c>
      <c r="E13" s="416" t="s">
        <v>331</v>
      </c>
      <c r="F13" s="371">
        <v>3.519</v>
      </c>
      <c r="G13" s="362">
        <v>48.105</v>
      </c>
      <c r="H13" s="396">
        <v>0</v>
      </c>
      <c r="I13" s="363">
        <v>4.04</v>
      </c>
      <c r="J13" s="390">
        <f aca="true" t="shared" si="1" ref="J13:J41">G13+H13+I13</f>
        <v>52.144999999999996</v>
      </c>
      <c r="K13" s="364">
        <v>3.295</v>
      </c>
      <c r="L13" s="392">
        <f aca="true" t="shared" si="2" ref="L13:L42">IF(K13=0,0,(IF(J13/K13&gt;1,1,J13/K13)))</f>
        <v>1</v>
      </c>
      <c r="M13" s="168"/>
      <c r="N13" s="87"/>
      <c r="O13" s="81"/>
      <c r="AX13" s="323">
        <v>2</v>
      </c>
      <c r="AY13" s="324" t="s">
        <v>291</v>
      </c>
      <c r="AZ13" s="324" t="s">
        <v>288</v>
      </c>
      <c r="BA13" s="324" t="s">
        <v>291</v>
      </c>
      <c r="BB13" s="326">
        <v>3519</v>
      </c>
      <c r="BC13" s="317">
        <v>27.726</v>
      </c>
      <c r="BD13" s="332">
        <v>0</v>
      </c>
      <c r="BE13" s="328">
        <v>2.06</v>
      </c>
      <c r="BF13" s="328">
        <f>BC13+BD13+BE13</f>
        <v>29.785999999999998</v>
      </c>
      <c r="BG13" s="330">
        <f>BE13</f>
        <v>2.06</v>
      </c>
      <c r="BH13" s="321">
        <f>(BD13+BE13)/BG13</f>
        <v>1</v>
      </c>
      <c r="BI13" s="333"/>
    </row>
    <row r="14" spans="1:61" ht="22.5" customHeight="1">
      <c r="A14" s="406">
        <f t="shared" si="0"/>
        <v>3</v>
      </c>
      <c r="B14" s="278" t="s">
        <v>207</v>
      </c>
      <c r="C14" s="280"/>
      <c r="D14" s="121" t="s">
        <v>65</v>
      </c>
      <c r="E14" s="417" t="s">
        <v>333</v>
      </c>
      <c r="F14" s="470">
        <v>7.548</v>
      </c>
      <c r="G14" s="362">
        <v>9.685</v>
      </c>
      <c r="H14" s="363">
        <v>8.175</v>
      </c>
      <c r="I14" s="363">
        <v>1.246</v>
      </c>
      <c r="J14" s="390">
        <f t="shared" si="1"/>
        <v>19.105999999999998</v>
      </c>
      <c r="K14" s="364">
        <v>9.25</v>
      </c>
      <c r="L14" s="392">
        <f t="shared" si="2"/>
        <v>1</v>
      </c>
      <c r="M14" s="168"/>
      <c r="N14" s="87"/>
      <c r="O14" s="81"/>
      <c r="AX14" s="323">
        <v>3</v>
      </c>
      <c r="AY14" s="324" t="s">
        <v>292</v>
      </c>
      <c r="AZ14" s="324" t="s">
        <v>293</v>
      </c>
      <c r="BA14" s="324" t="s">
        <v>292</v>
      </c>
      <c r="BB14" s="326">
        <v>7548</v>
      </c>
      <c r="BC14" s="317">
        <v>16.695</v>
      </c>
      <c r="BD14" s="328">
        <v>2.955</v>
      </c>
      <c r="BE14" s="328">
        <v>1.264</v>
      </c>
      <c r="BF14" s="328">
        <f>BC14+BD14+BE14</f>
        <v>20.913999999999998</v>
      </c>
      <c r="BG14" s="330">
        <f>BD14+BE14</f>
        <v>4.219</v>
      </c>
      <c r="BH14" s="321">
        <v>1</v>
      </c>
      <c r="BI14" s="331"/>
    </row>
    <row r="15" spans="1:61" ht="22.5" customHeight="1">
      <c r="A15" s="406">
        <f t="shared" si="0"/>
        <v>4</v>
      </c>
      <c r="B15" s="279" t="s">
        <v>3</v>
      </c>
      <c r="C15" s="280"/>
      <c r="D15" s="259" t="s">
        <v>215</v>
      </c>
      <c r="E15" s="418" t="s">
        <v>332</v>
      </c>
      <c r="F15" s="360">
        <v>26952</v>
      </c>
      <c r="G15" s="366">
        <v>57.306</v>
      </c>
      <c r="H15" s="363">
        <v>21.436</v>
      </c>
      <c r="I15" s="363">
        <v>0</v>
      </c>
      <c r="J15" s="390">
        <f t="shared" si="1"/>
        <v>78.74199999999999</v>
      </c>
      <c r="K15" s="364">
        <v>20.149</v>
      </c>
      <c r="L15" s="392">
        <f t="shared" si="2"/>
        <v>1</v>
      </c>
      <c r="M15" s="168"/>
      <c r="N15" s="27"/>
      <c r="O15" s="81">
        <f aca="true" t="shared" si="3" ref="O15:O71">+J15/K15</f>
        <v>3.9079855079656554</v>
      </c>
      <c r="AX15" s="323">
        <v>4</v>
      </c>
      <c r="AY15" s="324" t="s">
        <v>294</v>
      </c>
      <c r="AZ15" s="324" t="s">
        <v>295</v>
      </c>
      <c r="BA15" s="325" t="s">
        <v>296</v>
      </c>
      <c r="BB15" s="326">
        <v>26952</v>
      </c>
      <c r="BC15" s="334">
        <f>'[1]notog'!BA11</f>
        <v>0</v>
      </c>
      <c r="BD15" s="328">
        <f>'[1]notog'!AY11</f>
        <v>0</v>
      </c>
      <c r="BE15" s="328"/>
      <c r="BF15" s="328">
        <f>BC15+BD15+BE15</f>
        <v>0</v>
      </c>
      <c r="BG15" s="330">
        <v>32.701</v>
      </c>
      <c r="BH15" s="321">
        <f>BD15/BG15</f>
        <v>0</v>
      </c>
      <c r="BI15" s="331"/>
    </row>
    <row r="16" spans="1:61" ht="22.5" customHeight="1">
      <c r="A16" s="406">
        <f t="shared" si="0"/>
        <v>5</v>
      </c>
      <c r="B16" s="279" t="s">
        <v>7</v>
      </c>
      <c r="C16" s="280"/>
      <c r="D16" s="259" t="s">
        <v>236</v>
      </c>
      <c r="E16" s="419" t="s">
        <v>342</v>
      </c>
      <c r="F16" s="361">
        <v>9.005</v>
      </c>
      <c r="G16" s="363">
        <v>61.684</v>
      </c>
      <c r="H16" s="396">
        <v>0</v>
      </c>
      <c r="I16" s="363">
        <v>12.29</v>
      </c>
      <c r="J16" s="390">
        <f t="shared" si="1"/>
        <v>73.97399999999999</v>
      </c>
      <c r="K16" s="364">
        <v>13.208</v>
      </c>
      <c r="L16" s="392">
        <f t="shared" si="2"/>
        <v>1</v>
      </c>
      <c r="M16" s="168"/>
      <c r="N16" s="27"/>
      <c r="O16" s="81"/>
      <c r="AX16" s="323">
        <v>5</v>
      </c>
      <c r="AY16" s="324" t="s">
        <v>297</v>
      </c>
      <c r="AZ16" s="324" t="s">
        <v>298</v>
      </c>
      <c r="BA16" s="325" t="s">
        <v>299</v>
      </c>
      <c r="BB16" s="326">
        <v>9005</v>
      </c>
      <c r="BC16" s="328">
        <v>45.887</v>
      </c>
      <c r="BD16" s="332">
        <v>0</v>
      </c>
      <c r="BE16" s="328">
        <v>8.035</v>
      </c>
      <c r="BF16" s="328">
        <f>BC16+BD16+BE16</f>
        <v>53.922</v>
      </c>
      <c r="BG16" s="330">
        <v>9.042</v>
      </c>
      <c r="BH16" s="321">
        <f>BE16/BG16</f>
        <v>0.8886308338863084</v>
      </c>
      <c r="BI16" s="331" t="s">
        <v>300</v>
      </c>
    </row>
    <row r="17" spans="1:61" ht="22.5" customHeight="1">
      <c r="A17" s="406">
        <f t="shared" si="0"/>
        <v>6</v>
      </c>
      <c r="B17" s="279" t="s">
        <v>239</v>
      </c>
      <c r="C17" s="280"/>
      <c r="D17" s="259" t="s">
        <v>237</v>
      </c>
      <c r="E17" s="419" t="s">
        <v>343</v>
      </c>
      <c r="F17" s="361">
        <v>3.212</v>
      </c>
      <c r="G17" s="363">
        <v>3.179</v>
      </c>
      <c r="H17" s="365">
        <v>0</v>
      </c>
      <c r="I17" s="367">
        <v>2.834</v>
      </c>
      <c r="J17" s="390">
        <f t="shared" si="1"/>
        <v>6.013</v>
      </c>
      <c r="K17" s="364">
        <v>2.834</v>
      </c>
      <c r="L17" s="392">
        <f t="shared" si="2"/>
        <v>1</v>
      </c>
      <c r="M17" s="168"/>
      <c r="N17" s="27"/>
      <c r="O17" s="81"/>
      <c r="AX17" s="323">
        <v>6</v>
      </c>
      <c r="AY17" s="324" t="s">
        <v>301</v>
      </c>
      <c r="AZ17" s="324" t="s">
        <v>302</v>
      </c>
      <c r="BA17" s="325" t="s">
        <v>303</v>
      </c>
      <c r="BB17" s="326">
        <v>3211</v>
      </c>
      <c r="BC17" s="328">
        <v>14.816</v>
      </c>
      <c r="BD17" s="332">
        <v>0</v>
      </c>
      <c r="BE17" s="335">
        <f>BG17</f>
        <v>2.191</v>
      </c>
      <c r="BF17" s="328">
        <v>17.007</v>
      </c>
      <c r="BG17" s="336">
        <v>2.191</v>
      </c>
      <c r="BH17" s="321">
        <f>BE17/BG17</f>
        <v>1</v>
      </c>
      <c r="BI17" s="331"/>
    </row>
    <row r="18" spans="1:61" ht="22.5" customHeight="1">
      <c r="A18" s="406">
        <f t="shared" si="0"/>
        <v>7</v>
      </c>
      <c r="B18" s="279" t="s">
        <v>7</v>
      </c>
      <c r="C18" s="280"/>
      <c r="D18" s="259" t="s">
        <v>238</v>
      </c>
      <c r="E18" s="419" t="s">
        <v>344</v>
      </c>
      <c r="F18" s="361">
        <v>7.277</v>
      </c>
      <c r="G18" s="494">
        <v>11.35</v>
      </c>
      <c r="H18" s="367">
        <v>2.244</v>
      </c>
      <c r="I18" s="368">
        <v>6.043</v>
      </c>
      <c r="J18" s="390">
        <f t="shared" si="1"/>
        <v>19.637</v>
      </c>
      <c r="K18" s="364">
        <v>6.257</v>
      </c>
      <c r="L18" s="392">
        <f t="shared" si="2"/>
        <v>1</v>
      </c>
      <c r="M18" s="168"/>
      <c r="N18" s="27"/>
      <c r="O18" s="81"/>
      <c r="AX18" s="323">
        <v>7</v>
      </c>
      <c r="AY18" s="324" t="s">
        <v>304</v>
      </c>
      <c r="AZ18" s="324" t="s">
        <v>298</v>
      </c>
      <c r="BA18" s="325" t="s">
        <v>304</v>
      </c>
      <c r="BB18" s="326">
        <v>7277</v>
      </c>
      <c r="BC18" s="332">
        <v>0</v>
      </c>
      <c r="BD18" s="335">
        <v>1.807</v>
      </c>
      <c r="BE18" s="337">
        <v>5.13</v>
      </c>
      <c r="BF18" s="328">
        <f>BD18+BE18</f>
        <v>6.936999999999999</v>
      </c>
      <c r="BG18" s="336">
        <f>BD18+BE18</f>
        <v>6.936999999999999</v>
      </c>
      <c r="BH18" s="321">
        <f>(BD18+BE18)/BG18</f>
        <v>1</v>
      </c>
      <c r="BI18" s="331"/>
    </row>
    <row r="19" spans="1:61" ht="22.5" customHeight="1">
      <c r="A19" s="406">
        <f t="shared" si="0"/>
        <v>8</v>
      </c>
      <c r="B19" s="279" t="s">
        <v>240</v>
      </c>
      <c r="C19" s="280"/>
      <c r="D19" s="259" t="s">
        <v>241</v>
      </c>
      <c r="E19" s="419" t="s">
        <v>307</v>
      </c>
      <c r="F19" s="361">
        <v>2.147</v>
      </c>
      <c r="G19" s="396">
        <v>4.946</v>
      </c>
      <c r="H19" s="365">
        <v>0</v>
      </c>
      <c r="I19" s="368">
        <v>1.589</v>
      </c>
      <c r="J19" s="390">
        <f t="shared" si="1"/>
        <v>6.535</v>
      </c>
      <c r="K19" s="364">
        <v>1.967</v>
      </c>
      <c r="L19" s="392">
        <f t="shared" si="2"/>
        <v>1</v>
      </c>
      <c r="M19" s="169" t="s">
        <v>244</v>
      </c>
      <c r="N19" s="27"/>
      <c r="O19" s="81"/>
      <c r="AX19" s="323">
        <v>8</v>
      </c>
      <c r="AY19" s="324" t="s">
        <v>305</v>
      </c>
      <c r="AZ19" s="324" t="s">
        <v>306</v>
      </c>
      <c r="BA19" s="324" t="s">
        <v>307</v>
      </c>
      <c r="BB19" s="326">
        <v>2147</v>
      </c>
      <c r="BC19" s="332">
        <v>0</v>
      </c>
      <c r="BD19" s="332">
        <v>0</v>
      </c>
      <c r="BE19" s="337">
        <v>1.8</v>
      </c>
      <c r="BF19" s="328">
        <f aca="true" t="shared" si="4" ref="BF19:BF25">BC19+BD19+BE19</f>
        <v>1.8</v>
      </c>
      <c r="BG19" s="330">
        <v>2.281</v>
      </c>
      <c r="BH19" s="321">
        <f>BE19/BG19</f>
        <v>0.789127575624726</v>
      </c>
      <c r="BI19" s="324"/>
    </row>
    <row r="20" spans="1:61" ht="22.5" customHeight="1">
      <c r="A20" s="406">
        <f t="shared" si="0"/>
        <v>9</v>
      </c>
      <c r="B20" s="279" t="s">
        <v>3</v>
      </c>
      <c r="C20" s="280"/>
      <c r="D20" s="259" t="s">
        <v>242</v>
      </c>
      <c r="E20" s="419" t="s">
        <v>309</v>
      </c>
      <c r="F20" s="361">
        <v>4.166</v>
      </c>
      <c r="G20" s="396">
        <v>8.071</v>
      </c>
      <c r="H20" s="396">
        <v>4.9</v>
      </c>
      <c r="I20" s="368">
        <v>4.243</v>
      </c>
      <c r="J20" s="390">
        <f t="shared" si="1"/>
        <v>17.214</v>
      </c>
      <c r="K20" s="364">
        <v>4.95</v>
      </c>
      <c r="L20" s="392">
        <f t="shared" si="2"/>
        <v>1</v>
      </c>
      <c r="M20" s="169" t="s">
        <v>244</v>
      </c>
      <c r="N20" s="27"/>
      <c r="O20" s="81"/>
      <c r="AX20" s="323">
        <v>9</v>
      </c>
      <c r="AY20" s="324" t="s">
        <v>308</v>
      </c>
      <c r="AZ20" s="324" t="s">
        <v>306</v>
      </c>
      <c r="BA20" s="324" t="s">
        <v>309</v>
      </c>
      <c r="BB20" s="326">
        <v>4166</v>
      </c>
      <c r="BC20" s="332">
        <v>0</v>
      </c>
      <c r="BD20" s="332">
        <v>0</v>
      </c>
      <c r="BE20" s="337">
        <v>2.646</v>
      </c>
      <c r="BF20" s="328">
        <f t="shared" si="4"/>
        <v>2.646</v>
      </c>
      <c r="BG20" s="330">
        <v>4.158</v>
      </c>
      <c r="BH20" s="321">
        <f>BE20/BG20</f>
        <v>0.6363636363636362</v>
      </c>
      <c r="BI20" s="324" t="s">
        <v>310</v>
      </c>
    </row>
    <row r="21" spans="1:61" ht="22.5" customHeight="1">
      <c r="A21" s="406">
        <f t="shared" si="0"/>
        <v>10</v>
      </c>
      <c r="B21" s="279" t="s">
        <v>3</v>
      </c>
      <c r="C21" s="280"/>
      <c r="D21" s="259" t="s">
        <v>243</v>
      </c>
      <c r="E21" s="419" t="s">
        <v>345</v>
      </c>
      <c r="F21" s="361">
        <v>6.173</v>
      </c>
      <c r="G21" s="367">
        <v>2.371</v>
      </c>
      <c r="H21" s="367">
        <v>1.8</v>
      </c>
      <c r="I21" s="365">
        <v>0</v>
      </c>
      <c r="J21" s="390">
        <f t="shared" si="1"/>
        <v>4.171</v>
      </c>
      <c r="K21" s="364">
        <v>7.205</v>
      </c>
      <c r="L21" s="392">
        <f t="shared" si="2"/>
        <v>0.5789035392088827</v>
      </c>
      <c r="M21" s="169" t="s">
        <v>244</v>
      </c>
      <c r="N21" s="27"/>
      <c r="O21" s="81"/>
      <c r="AX21" s="323">
        <v>10</v>
      </c>
      <c r="AY21" s="324" t="s">
        <v>311</v>
      </c>
      <c r="AZ21" s="324" t="s">
        <v>306</v>
      </c>
      <c r="BA21" s="324" t="s">
        <v>312</v>
      </c>
      <c r="BB21" s="326">
        <v>6305</v>
      </c>
      <c r="BC21" s="335">
        <v>2.429</v>
      </c>
      <c r="BD21" s="335">
        <v>4.672</v>
      </c>
      <c r="BE21" s="338">
        <v>0</v>
      </c>
      <c r="BF21" s="328">
        <f>BC21+BD21</f>
        <v>7.100999999999999</v>
      </c>
      <c r="BG21" s="330">
        <v>8.023</v>
      </c>
      <c r="BH21" s="321">
        <v>1</v>
      </c>
      <c r="BI21" s="324" t="s">
        <v>310</v>
      </c>
    </row>
    <row r="22" spans="1:61" ht="22.5" customHeight="1">
      <c r="A22" s="406">
        <f t="shared" si="0"/>
        <v>11</v>
      </c>
      <c r="B22" s="279" t="s">
        <v>246</v>
      </c>
      <c r="C22" s="280"/>
      <c r="D22" s="259" t="s">
        <v>247</v>
      </c>
      <c r="E22" s="419" t="s">
        <v>346</v>
      </c>
      <c r="F22" s="361">
        <v>7.439</v>
      </c>
      <c r="G22" s="365">
        <v>0</v>
      </c>
      <c r="H22" s="365">
        <v>0</v>
      </c>
      <c r="I22" s="363">
        <v>3.3</v>
      </c>
      <c r="J22" s="390">
        <f t="shared" si="1"/>
        <v>3.3</v>
      </c>
      <c r="K22" s="364">
        <v>3.3</v>
      </c>
      <c r="L22" s="392">
        <f>IF(K22=0,0,(IF(J22/K22&gt;1,1,J22/K22)))</f>
        <v>1</v>
      </c>
      <c r="M22" s="169"/>
      <c r="N22" s="27"/>
      <c r="O22" s="81"/>
      <c r="AX22" s="323">
        <v>11</v>
      </c>
      <c r="AY22" s="324" t="s">
        <v>313</v>
      </c>
      <c r="AZ22" s="324" t="s">
        <v>314</v>
      </c>
      <c r="BA22" s="324" t="s">
        <v>315</v>
      </c>
      <c r="BB22" s="326">
        <v>7439</v>
      </c>
      <c r="BC22" s="332">
        <v>0</v>
      </c>
      <c r="BD22" s="332">
        <v>0</v>
      </c>
      <c r="BE22" s="328">
        <v>4</v>
      </c>
      <c r="BF22" s="328">
        <f t="shared" si="4"/>
        <v>4</v>
      </c>
      <c r="BG22" s="330">
        <v>6.583</v>
      </c>
      <c r="BH22" s="321">
        <f>BE22/BG22</f>
        <v>0.6076257025672186</v>
      </c>
      <c r="BI22" s="324"/>
    </row>
    <row r="23" spans="1:61" ht="22.5" customHeight="1">
      <c r="A23" s="406">
        <f t="shared" si="0"/>
        <v>12</v>
      </c>
      <c r="B23" s="279" t="s">
        <v>246</v>
      </c>
      <c r="C23" s="280"/>
      <c r="D23" s="259" t="s">
        <v>261</v>
      </c>
      <c r="E23" s="418" t="s">
        <v>317</v>
      </c>
      <c r="F23" s="360">
        <v>6632</v>
      </c>
      <c r="G23" s="365">
        <v>0</v>
      </c>
      <c r="H23" s="396"/>
      <c r="I23" s="363">
        <v>3.72</v>
      </c>
      <c r="J23" s="390">
        <f t="shared" si="1"/>
        <v>3.72</v>
      </c>
      <c r="K23" s="364">
        <v>3.28</v>
      </c>
      <c r="L23" s="392">
        <f t="shared" si="2"/>
        <v>1</v>
      </c>
      <c r="M23" s="169"/>
      <c r="N23" s="27"/>
      <c r="O23" s="81"/>
      <c r="AX23" s="323">
        <v>12</v>
      </c>
      <c r="AY23" s="324" t="s">
        <v>316</v>
      </c>
      <c r="AZ23" s="324" t="s">
        <v>314</v>
      </c>
      <c r="BA23" s="324" t="s">
        <v>317</v>
      </c>
      <c r="BB23" s="326">
        <v>6632</v>
      </c>
      <c r="BC23" s="332">
        <v>0</v>
      </c>
      <c r="BD23" s="332" t="s">
        <v>2</v>
      </c>
      <c r="BE23" s="328">
        <v>3.35</v>
      </c>
      <c r="BF23" s="328">
        <f>BE23</f>
        <v>3.35</v>
      </c>
      <c r="BG23" s="330">
        <v>5.75</v>
      </c>
      <c r="BH23" s="321">
        <f>BE23/BG23</f>
        <v>0.5826086956521739</v>
      </c>
      <c r="BI23" s="324" t="s">
        <v>310</v>
      </c>
    </row>
    <row r="24" spans="1:61" ht="22.5" customHeight="1" thickBot="1">
      <c r="A24" s="406">
        <f t="shared" si="0"/>
        <v>13</v>
      </c>
      <c r="B24" s="279" t="s">
        <v>246</v>
      </c>
      <c r="C24" s="280"/>
      <c r="D24" s="259" t="s">
        <v>248</v>
      </c>
      <c r="E24" s="418" t="s">
        <v>319</v>
      </c>
      <c r="F24" s="360">
        <v>7632</v>
      </c>
      <c r="G24" s="363">
        <v>4.146</v>
      </c>
      <c r="H24" s="365">
        <v>0</v>
      </c>
      <c r="I24" s="363">
        <v>3.409</v>
      </c>
      <c r="J24" s="390">
        <f t="shared" si="1"/>
        <v>7.555</v>
      </c>
      <c r="K24" s="364">
        <v>4.045</v>
      </c>
      <c r="L24" s="392">
        <f t="shared" si="2"/>
        <v>1</v>
      </c>
      <c r="M24" s="169" t="s">
        <v>249</v>
      </c>
      <c r="N24" s="27"/>
      <c r="O24" s="81"/>
      <c r="AX24" s="323">
        <v>13</v>
      </c>
      <c r="AY24" s="324" t="s">
        <v>318</v>
      </c>
      <c r="AZ24" s="324" t="s">
        <v>314</v>
      </c>
      <c r="BA24" s="324" t="s">
        <v>319</v>
      </c>
      <c r="BB24" s="326">
        <v>7634</v>
      </c>
      <c r="BC24" s="339">
        <v>1.466</v>
      </c>
      <c r="BD24" s="332">
        <v>0</v>
      </c>
      <c r="BE24" s="328">
        <v>5.734</v>
      </c>
      <c r="BF24" s="328">
        <f t="shared" si="4"/>
        <v>7.2</v>
      </c>
      <c r="BG24" s="330">
        <v>6.404</v>
      </c>
      <c r="BH24" s="321">
        <v>1</v>
      </c>
      <c r="BI24" s="331"/>
    </row>
    <row r="25" spans="1:61" ht="22.5" customHeight="1" thickBot="1">
      <c r="A25" s="406">
        <f t="shared" si="0"/>
        <v>14</v>
      </c>
      <c r="B25" s="279" t="s">
        <v>246</v>
      </c>
      <c r="C25" s="280"/>
      <c r="D25" s="259" t="s">
        <v>258</v>
      </c>
      <c r="E25" s="418" t="s">
        <v>321</v>
      </c>
      <c r="F25" s="360">
        <v>3881</v>
      </c>
      <c r="G25" s="363">
        <v>1.995</v>
      </c>
      <c r="H25" s="363">
        <v>1.307</v>
      </c>
      <c r="I25" s="363">
        <v>0</v>
      </c>
      <c r="J25" s="390">
        <f t="shared" si="1"/>
        <v>3.302</v>
      </c>
      <c r="K25" s="364">
        <v>1.549</v>
      </c>
      <c r="L25" s="392">
        <f t="shared" si="2"/>
        <v>1</v>
      </c>
      <c r="M25" s="169"/>
      <c r="N25" s="27"/>
      <c r="O25" s="81"/>
      <c r="AX25" s="340">
        <v>14</v>
      </c>
      <c r="AY25" s="341" t="s">
        <v>320</v>
      </c>
      <c r="AZ25" s="341" t="s">
        <v>314</v>
      </c>
      <c r="BA25" s="341" t="s">
        <v>321</v>
      </c>
      <c r="BB25" s="342">
        <v>3940</v>
      </c>
      <c r="BC25" s="339">
        <v>1.296</v>
      </c>
      <c r="BD25" s="343">
        <v>1.405</v>
      </c>
      <c r="BE25" s="344">
        <v>0</v>
      </c>
      <c r="BF25" s="343">
        <f t="shared" si="4"/>
        <v>2.701</v>
      </c>
      <c r="BG25" s="345">
        <f>BD25</f>
        <v>1.405</v>
      </c>
      <c r="BH25" s="346">
        <f>BD25/BG25</f>
        <v>1</v>
      </c>
      <c r="BI25" s="347"/>
    </row>
    <row r="26" spans="1:15" ht="22.5" customHeight="1">
      <c r="A26" s="407">
        <f t="shared" si="0"/>
        <v>15</v>
      </c>
      <c r="B26" s="7" t="s">
        <v>9</v>
      </c>
      <c r="C26" s="280"/>
      <c r="D26" s="5" t="s">
        <v>85</v>
      </c>
      <c r="E26" s="416" t="s">
        <v>347</v>
      </c>
      <c r="F26" s="359">
        <v>1176</v>
      </c>
      <c r="G26" s="53">
        <v>6.932</v>
      </c>
      <c r="H26" s="53">
        <v>0.737</v>
      </c>
      <c r="I26" s="53">
        <v>0.118</v>
      </c>
      <c r="J26" s="390">
        <f t="shared" si="1"/>
        <v>7.787000000000001</v>
      </c>
      <c r="K26" s="364">
        <v>0.855</v>
      </c>
      <c r="L26" s="392">
        <f t="shared" si="2"/>
        <v>1</v>
      </c>
      <c r="M26" s="168"/>
      <c r="N26" s="27"/>
      <c r="O26" s="81">
        <f t="shared" si="3"/>
        <v>9.107602339181287</v>
      </c>
    </row>
    <row r="27" spans="1:59" ht="22.5" customHeight="1">
      <c r="A27" s="407">
        <f t="shared" si="0"/>
        <v>16</v>
      </c>
      <c r="B27" s="7" t="s">
        <v>245</v>
      </c>
      <c r="C27" s="52"/>
      <c r="D27" s="5" t="s">
        <v>68</v>
      </c>
      <c r="E27" s="416" t="s">
        <v>289</v>
      </c>
      <c r="F27" s="359">
        <v>238</v>
      </c>
      <c r="G27" s="53">
        <v>23.432</v>
      </c>
      <c r="H27" s="53">
        <v>0</v>
      </c>
      <c r="I27" s="53">
        <v>0.44</v>
      </c>
      <c r="J27" s="390">
        <f t="shared" si="1"/>
        <v>23.872</v>
      </c>
      <c r="K27" s="364">
        <v>0.44</v>
      </c>
      <c r="L27" s="392">
        <f t="shared" si="2"/>
        <v>1</v>
      </c>
      <c r="M27" s="168"/>
      <c r="N27" s="27"/>
      <c r="O27" s="81">
        <f t="shared" si="3"/>
        <v>54.25454545454546</v>
      </c>
      <c r="BB27" s="348"/>
      <c r="BC27" s="349"/>
      <c r="BD27" s="349"/>
      <c r="BE27" s="583" t="s">
        <v>322</v>
      </c>
      <c r="BF27" s="583"/>
      <c r="BG27" s="583"/>
    </row>
    <row r="28" spans="1:60" ht="22.5" customHeight="1">
      <c r="A28" s="407">
        <f t="shared" si="0"/>
        <v>17</v>
      </c>
      <c r="B28" s="7" t="s">
        <v>8</v>
      </c>
      <c r="C28" s="52"/>
      <c r="D28" s="10" t="s">
        <v>86</v>
      </c>
      <c r="E28" s="420" t="s">
        <v>348</v>
      </c>
      <c r="F28" s="358">
        <v>1330</v>
      </c>
      <c r="G28" s="53">
        <v>2.984</v>
      </c>
      <c r="H28" s="53">
        <v>2.096</v>
      </c>
      <c r="I28" s="53">
        <v>0</v>
      </c>
      <c r="J28" s="390">
        <f>G28+H28+I28</f>
        <v>5.08</v>
      </c>
      <c r="K28" s="364">
        <v>2.096</v>
      </c>
      <c r="L28" s="392">
        <f t="shared" si="2"/>
        <v>1</v>
      </c>
      <c r="M28" s="168"/>
      <c r="N28" s="27"/>
      <c r="O28" s="81">
        <f t="shared" si="3"/>
        <v>2.4236641221374047</v>
      </c>
      <c r="BA28" s="176"/>
      <c r="BB28" s="350"/>
      <c r="BF28" s="351"/>
      <c r="BG28" s="351"/>
      <c r="BH28" s="349"/>
    </row>
    <row r="29" spans="1:58" ht="22.5" customHeight="1">
      <c r="A29" s="407">
        <f t="shared" si="0"/>
        <v>18</v>
      </c>
      <c r="B29" s="7" t="s">
        <v>8</v>
      </c>
      <c r="C29" s="52"/>
      <c r="D29" s="10" t="s">
        <v>175</v>
      </c>
      <c r="E29" s="421" t="s">
        <v>349</v>
      </c>
      <c r="F29" s="370">
        <v>2.388</v>
      </c>
      <c r="G29" s="53">
        <v>7.289</v>
      </c>
      <c r="H29" s="53">
        <v>0</v>
      </c>
      <c r="I29" s="53">
        <v>3.899</v>
      </c>
      <c r="J29" s="390">
        <f t="shared" si="1"/>
        <v>11.187999999999999</v>
      </c>
      <c r="K29" s="364">
        <v>3.899</v>
      </c>
      <c r="L29" s="392">
        <f>IF(K29=0,0,(IF(J29/K29&gt;1,1,J29/K29)))</f>
        <v>1</v>
      </c>
      <c r="M29" s="168"/>
      <c r="N29" s="27"/>
      <c r="O29" s="81">
        <f t="shared" si="3"/>
        <v>2.8694537060784815</v>
      </c>
      <c r="AX29" s="349"/>
      <c r="AZ29" s="349"/>
      <c r="BB29" s="349"/>
      <c r="BC29" s="349"/>
      <c r="BD29" s="349"/>
      <c r="BF29" s="349" t="s">
        <v>323</v>
      </c>
    </row>
    <row r="30" spans="1:60" ht="22.5" customHeight="1">
      <c r="A30" s="407">
        <f t="shared" si="0"/>
        <v>19</v>
      </c>
      <c r="B30" s="7" t="s">
        <v>8</v>
      </c>
      <c r="C30" s="52"/>
      <c r="D30" s="10" t="s">
        <v>174</v>
      </c>
      <c r="E30" s="421" t="s">
        <v>350</v>
      </c>
      <c r="F30" s="370">
        <v>1.521</v>
      </c>
      <c r="G30" s="53">
        <v>0.321</v>
      </c>
      <c r="H30" s="53">
        <v>0</v>
      </c>
      <c r="I30" s="53">
        <v>1.09</v>
      </c>
      <c r="J30" s="390">
        <f t="shared" si="1"/>
        <v>1.411</v>
      </c>
      <c r="K30" s="364">
        <v>1.09</v>
      </c>
      <c r="L30" s="392">
        <f t="shared" si="2"/>
        <v>1</v>
      </c>
      <c r="M30" s="168"/>
      <c r="N30" s="27"/>
      <c r="O30" s="81">
        <f t="shared" si="3"/>
        <v>1.2944954128440367</v>
      </c>
      <c r="AX30" s="352"/>
      <c r="AZ30" s="349"/>
      <c r="BB30" s="349"/>
      <c r="BD30" s="353"/>
      <c r="BF30" s="349" t="s">
        <v>324</v>
      </c>
      <c r="BH30" s="353"/>
    </row>
    <row r="31" spans="1:60" ht="22.5" customHeight="1">
      <c r="A31" s="407">
        <f t="shared" si="0"/>
        <v>20</v>
      </c>
      <c r="B31" s="9" t="s">
        <v>7</v>
      </c>
      <c r="C31" s="52"/>
      <c r="D31" s="10" t="s">
        <v>202</v>
      </c>
      <c r="E31" s="420" t="s">
        <v>342</v>
      </c>
      <c r="F31" s="358">
        <v>2049</v>
      </c>
      <c r="G31" s="53">
        <v>10.424</v>
      </c>
      <c r="H31" s="53">
        <v>0.05</v>
      </c>
      <c r="I31" s="53">
        <v>6.841</v>
      </c>
      <c r="J31" s="390">
        <f t="shared" si="1"/>
        <v>17.315</v>
      </c>
      <c r="K31" s="364">
        <v>6.891</v>
      </c>
      <c r="L31" s="392">
        <f t="shared" si="2"/>
        <v>1</v>
      </c>
      <c r="M31" s="168"/>
      <c r="N31" s="27"/>
      <c r="O31" s="81">
        <f t="shared" si="3"/>
        <v>2.5126977216659414</v>
      </c>
      <c r="AX31" s="352"/>
      <c r="AZ31" s="349"/>
      <c r="BC31" s="354">
        <v>3600</v>
      </c>
      <c r="BD31" s="353"/>
      <c r="BF31" s="349" t="s">
        <v>325</v>
      </c>
      <c r="BH31" s="355"/>
    </row>
    <row r="32" spans="1:60" ht="22.5" customHeight="1">
      <c r="A32" s="407">
        <f t="shared" si="0"/>
        <v>21</v>
      </c>
      <c r="B32" s="9" t="s">
        <v>7</v>
      </c>
      <c r="C32" s="52"/>
      <c r="D32" s="5" t="s">
        <v>69</v>
      </c>
      <c r="E32" s="416" t="s">
        <v>344</v>
      </c>
      <c r="F32" s="359">
        <v>415</v>
      </c>
      <c r="G32" s="47">
        <v>7.537</v>
      </c>
      <c r="H32" s="53">
        <v>0</v>
      </c>
      <c r="I32" s="53">
        <v>1.808</v>
      </c>
      <c r="J32" s="390">
        <f t="shared" si="1"/>
        <v>9.345</v>
      </c>
      <c r="K32" s="364">
        <v>1.808</v>
      </c>
      <c r="L32" s="392">
        <f t="shared" si="2"/>
        <v>1</v>
      </c>
      <c r="M32" s="168"/>
      <c r="N32" s="27"/>
      <c r="O32" s="81"/>
      <c r="BA32" s="176"/>
      <c r="BC32" s="354">
        <v>3600</v>
      </c>
      <c r="BD32" s="353"/>
      <c r="BG32" s="176"/>
      <c r="BH32" s="355"/>
    </row>
    <row r="33" spans="1:60" ht="22.5" customHeight="1">
      <c r="A33" s="407">
        <f t="shared" si="0"/>
        <v>22</v>
      </c>
      <c r="B33" s="9" t="s">
        <v>208</v>
      </c>
      <c r="C33" s="52"/>
      <c r="D33" s="5" t="s">
        <v>203</v>
      </c>
      <c r="E33" s="416" t="s">
        <v>317</v>
      </c>
      <c r="F33" s="359">
        <v>1870</v>
      </c>
      <c r="G33" s="53">
        <v>21.706</v>
      </c>
      <c r="H33" s="53">
        <v>0.769</v>
      </c>
      <c r="I33" s="53">
        <v>0.855</v>
      </c>
      <c r="J33" s="390">
        <f t="shared" si="1"/>
        <v>23.33</v>
      </c>
      <c r="K33" s="364">
        <v>2.308</v>
      </c>
      <c r="L33" s="392">
        <f t="shared" si="2"/>
        <v>1</v>
      </c>
      <c r="M33" s="168"/>
      <c r="N33" s="27"/>
      <c r="O33" s="81"/>
      <c r="BA33" s="176"/>
      <c r="BC33" s="354">
        <v>3600</v>
      </c>
      <c r="BG33" s="176"/>
      <c r="BH33" s="355"/>
    </row>
    <row r="34" spans="1:60" ht="22.5" customHeight="1">
      <c r="A34" s="407">
        <f t="shared" si="0"/>
        <v>23</v>
      </c>
      <c r="B34" s="9" t="s">
        <v>208</v>
      </c>
      <c r="C34" s="52"/>
      <c r="D34" s="5" t="s">
        <v>204</v>
      </c>
      <c r="E34" s="416" t="s">
        <v>351</v>
      </c>
      <c r="F34" s="359">
        <v>600</v>
      </c>
      <c r="G34" s="53">
        <v>0.583</v>
      </c>
      <c r="H34" s="53">
        <v>0</v>
      </c>
      <c r="I34" s="53">
        <v>0.619</v>
      </c>
      <c r="J34" s="390">
        <f t="shared" si="1"/>
        <v>1.202</v>
      </c>
      <c r="K34" s="364">
        <v>0.619</v>
      </c>
      <c r="L34" s="392">
        <f>IF(K34=0,0,(IF(J34/K34&gt;1,1,J34/K34)))</f>
        <v>1</v>
      </c>
      <c r="M34" s="168"/>
      <c r="N34" s="27"/>
      <c r="O34" s="81"/>
      <c r="AY34" s="356"/>
      <c r="BA34" s="176"/>
      <c r="BC34" s="354">
        <v>3600</v>
      </c>
      <c r="BE34" s="356"/>
      <c r="BG34" s="176"/>
      <c r="BH34" s="352"/>
    </row>
    <row r="35" spans="1:60" ht="22.5" customHeight="1">
      <c r="A35" s="407">
        <f t="shared" si="0"/>
        <v>24</v>
      </c>
      <c r="B35" s="9" t="s">
        <v>210</v>
      </c>
      <c r="C35" s="52"/>
      <c r="D35" s="5" t="s">
        <v>217</v>
      </c>
      <c r="E35" s="416" t="s">
        <v>352</v>
      </c>
      <c r="F35" s="359">
        <v>749</v>
      </c>
      <c r="G35" s="53">
        <v>2.903</v>
      </c>
      <c r="H35" s="53">
        <v>0.619</v>
      </c>
      <c r="I35" s="53">
        <v>0</v>
      </c>
      <c r="J35" s="390">
        <f t="shared" si="1"/>
        <v>3.5220000000000002</v>
      </c>
      <c r="K35" s="364">
        <v>0.619</v>
      </c>
      <c r="L35" s="392">
        <f t="shared" si="2"/>
        <v>1</v>
      </c>
      <c r="M35" s="168"/>
      <c r="N35" s="27"/>
      <c r="O35" s="81"/>
      <c r="AX35" s="357"/>
      <c r="AZ35" s="356"/>
      <c r="BB35" s="349"/>
      <c r="BC35" s="354">
        <v>3400</v>
      </c>
      <c r="BD35" s="584" t="s">
        <v>326</v>
      </c>
      <c r="BE35" s="584"/>
      <c r="BF35" s="584"/>
      <c r="BG35" s="584"/>
      <c r="BH35" s="584"/>
    </row>
    <row r="36" spans="1:60" ht="22.5" customHeight="1">
      <c r="A36" s="407">
        <f t="shared" si="0"/>
        <v>25</v>
      </c>
      <c r="B36" s="9" t="s">
        <v>209</v>
      </c>
      <c r="C36" s="52"/>
      <c r="D36" s="5" t="s">
        <v>234</v>
      </c>
      <c r="E36" s="422" t="s">
        <v>353</v>
      </c>
      <c r="F36" s="371">
        <v>1.704</v>
      </c>
      <c r="G36" s="53">
        <v>4.829</v>
      </c>
      <c r="H36" s="53">
        <v>1.176</v>
      </c>
      <c r="I36" s="53">
        <v>0</v>
      </c>
      <c r="J36" s="390">
        <f t="shared" si="1"/>
        <v>6.005</v>
      </c>
      <c r="K36" s="364">
        <v>1.175</v>
      </c>
      <c r="L36" s="392">
        <f t="shared" si="2"/>
        <v>1</v>
      </c>
      <c r="M36" s="168"/>
      <c r="N36" s="27"/>
      <c r="O36" s="81"/>
      <c r="AX36" s="352"/>
      <c r="AY36" s="583"/>
      <c r="AZ36" s="583"/>
      <c r="BA36" s="583"/>
      <c r="BB36" s="349"/>
      <c r="BC36" s="354">
        <v>3650</v>
      </c>
      <c r="BD36" s="583" t="s">
        <v>327</v>
      </c>
      <c r="BE36" s="583"/>
      <c r="BF36" s="583"/>
      <c r="BG36" s="583"/>
      <c r="BH36" s="583"/>
    </row>
    <row r="37" spans="1:55" ht="22.5" customHeight="1">
      <c r="A37" s="407">
        <f t="shared" si="0"/>
        <v>26</v>
      </c>
      <c r="B37" s="9" t="s">
        <v>209</v>
      </c>
      <c r="C37" s="52"/>
      <c r="D37" s="5" t="s">
        <v>205</v>
      </c>
      <c r="E37" s="416" t="s">
        <v>354</v>
      </c>
      <c r="F37" s="359">
        <v>824</v>
      </c>
      <c r="G37" s="369">
        <v>0.426</v>
      </c>
      <c r="H37" s="53">
        <v>0.373</v>
      </c>
      <c r="I37" s="53">
        <v>0</v>
      </c>
      <c r="J37" s="390">
        <f t="shared" si="1"/>
        <v>0.7989999999999999</v>
      </c>
      <c r="K37" s="364">
        <v>0.721</v>
      </c>
      <c r="L37" s="392">
        <f t="shared" si="2"/>
        <v>1</v>
      </c>
      <c r="M37" s="168"/>
      <c r="N37" s="27"/>
      <c r="O37" s="81"/>
      <c r="BC37" s="354">
        <v>3800</v>
      </c>
    </row>
    <row r="38" spans="1:15" ht="22.5" customHeight="1">
      <c r="A38" s="407">
        <f t="shared" si="0"/>
        <v>27</v>
      </c>
      <c r="B38" s="9" t="s">
        <v>209</v>
      </c>
      <c r="C38" s="52"/>
      <c r="D38" s="5" t="s">
        <v>206</v>
      </c>
      <c r="E38" s="416" t="s">
        <v>355</v>
      </c>
      <c r="F38" s="359">
        <v>290</v>
      </c>
      <c r="G38" s="53">
        <v>0.225</v>
      </c>
      <c r="H38" s="47">
        <v>0.285</v>
      </c>
      <c r="I38" s="53">
        <v>0</v>
      </c>
      <c r="J38" s="390">
        <f t="shared" si="1"/>
        <v>0.51</v>
      </c>
      <c r="K38" s="364">
        <v>0.285</v>
      </c>
      <c r="L38" s="392">
        <f t="shared" si="2"/>
        <v>1</v>
      </c>
      <c r="M38" s="168"/>
      <c r="N38" s="27"/>
      <c r="O38" s="81"/>
    </row>
    <row r="39" spans="1:15" ht="22.5" customHeight="1">
      <c r="A39" s="407">
        <f t="shared" si="0"/>
        <v>28</v>
      </c>
      <c r="B39" s="9" t="s">
        <v>209</v>
      </c>
      <c r="C39" s="52"/>
      <c r="D39" s="5" t="s">
        <v>31</v>
      </c>
      <c r="E39" s="416" t="s">
        <v>356</v>
      </c>
      <c r="F39" s="359">
        <v>210</v>
      </c>
      <c r="G39" s="53">
        <v>0.86</v>
      </c>
      <c r="H39" s="53">
        <v>0.059</v>
      </c>
      <c r="I39" s="53">
        <v>0</v>
      </c>
      <c r="J39" s="390">
        <f t="shared" si="1"/>
        <v>0.919</v>
      </c>
      <c r="K39" s="364">
        <v>0.137</v>
      </c>
      <c r="L39" s="392">
        <f t="shared" si="2"/>
        <v>1</v>
      </c>
      <c r="M39" s="168"/>
      <c r="N39" s="27"/>
      <c r="O39" s="81"/>
    </row>
    <row r="40" spans="1:15" ht="22.5" customHeight="1">
      <c r="A40" s="407">
        <f t="shared" si="0"/>
        <v>29</v>
      </c>
      <c r="B40" s="9" t="s">
        <v>211</v>
      </c>
      <c r="C40" s="52"/>
      <c r="D40" s="5" t="s">
        <v>212</v>
      </c>
      <c r="E40" s="416" t="s">
        <v>357</v>
      </c>
      <c r="F40" s="359">
        <v>236</v>
      </c>
      <c r="G40" s="53">
        <v>1.07</v>
      </c>
      <c r="H40" s="53">
        <v>0.28</v>
      </c>
      <c r="I40" s="53">
        <v>0</v>
      </c>
      <c r="J40" s="390">
        <f t="shared" si="1"/>
        <v>1.35</v>
      </c>
      <c r="K40" s="363">
        <v>0.28</v>
      </c>
      <c r="L40" s="392">
        <f t="shared" si="2"/>
        <v>1</v>
      </c>
      <c r="M40" s="168"/>
      <c r="N40" s="27"/>
      <c r="O40" s="81"/>
    </row>
    <row r="41" spans="1:15" ht="22.5" customHeight="1" thickBot="1">
      <c r="A41" s="408">
        <f t="shared" si="0"/>
        <v>30</v>
      </c>
      <c r="B41" s="9" t="s">
        <v>213</v>
      </c>
      <c r="C41" s="52"/>
      <c r="D41" s="5" t="s">
        <v>214</v>
      </c>
      <c r="E41" s="423" t="s">
        <v>358</v>
      </c>
      <c r="F41" s="377">
        <v>1.026</v>
      </c>
      <c r="G41" s="77">
        <v>0.373</v>
      </c>
      <c r="H41" s="77">
        <v>0</v>
      </c>
      <c r="I41" s="77">
        <v>0.375</v>
      </c>
      <c r="J41" s="390">
        <f t="shared" si="1"/>
        <v>0.748</v>
      </c>
      <c r="K41" s="364">
        <v>0.375</v>
      </c>
      <c r="L41" s="445">
        <f>IF(K41=0,0,(IF(J41/K41&gt;1,1,J41/K41)))</f>
        <v>1</v>
      </c>
      <c r="M41" s="168"/>
      <c r="N41" s="27"/>
      <c r="O41" s="81"/>
    </row>
    <row r="42" spans="1:15" ht="22.5" customHeight="1" thickBot="1">
      <c r="A42" s="60"/>
      <c r="B42" s="566" t="s">
        <v>133</v>
      </c>
      <c r="C42" s="567"/>
      <c r="D42" s="567"/>
      <c r="E42" s="424"/>
      <c r="F42" s="380">
        <f aca="true" t="shared" si="5" ref="F42:K42">SUM(F12:F41)</f>
        <v>55144.16499999999</v>
      </c>
      <c r="G42" s="381">
        <f t="shared" si="5"/>
        <v>307.205</v>
      </c>
      <c r="H42" s="381">
        <f t="shared" si="5"/>
        <v>49.675</v>
      </c>
      <c r="I42" s="381">
        <f t="shared" si="5"/>
        <v>58.75899999999999</v>
      </c>
      <c r="J42" s="452">
        <f>G42+H42+I42</f>
        <v>415.639</v>
      </c>
      <c r="K42" s="444">
        <f t="shared" si="5"/>
        <v>108.25600000000001</v>
      </c>
      <c r="L42" s="446">
        <f t="shared" si="2"/>
        <v>1</v>
      </c>
      <c r="M42" s="169"/>
      <c r="N42" s="27"/>
      <c r="O42" s="81">
        <f t="shared" si="3"/>
        <v>3.8394084392550987</v>
      </c>
    </row>
    <row r="43" spans="1:15" ht="22.5" customHeight="1" thickBot="1" thickTop="1">
      <c r="A43" s="31" t="s">
        <v>75</v>
      </c>
      <c r="B43" s="571" t="s">
        <v>76</v>
      </c>
      <c r="C43" s="572"/>
      <c r="D43" s="572"/>
      <c r="E43" s="425"/>
      <c r="F43" s="378"/>
      <c r="G43" s="564"/>
      <c r="H43" s="565"/>
      <c r="I43" s="565"/>
      <c r="J43" s="565"/>
      <c r="K43" s="565"/>
      <c r="L43" s="379"/>
      <c r="M43" s="169"/>
      <c r="N43" s="27"/>
      <c r="O43" s="81" t="e">
        <f t="shared" si="3"/>
        <v>#DIV/0!</v>
      </c>
    </row>
    <row r="44" spans="1:15" ht="22.5" customHeight="1" thickTop="1">
      <c r="A44" s="38">
        <v>1</v>
      </c>
      <c r="B44" s="23" t="s">
        <v>9</v>
      </c>
      <c r="C44" s="16">
        <v>1</v>
      </c>
      <c r="D44" s="388" t="s">
        <v>87</v>
      </c>
      <c r="E44" s="426" t="s">
        <v>359</v>
      </c>
      <c r="F44" s="373">
        <v>4353</v>
      </c>
      <c r="G44" s="53">
        <v>34.805</v>
      </c>
      <c r="H44" s="53">
        <v>4.372</v>
      </c>
      <c r="I44" s="53">
        <v>2.169</v>
      </c>
      <c r="J44" s="53">
        <f>+I44+H44+G44</f>
        <v>41.346000000000004</v>
      </c>
      <c r="K44" s="267">
        <f aca="true" t="shared" si="6" ref="K44:K53">H44+I44</f>
        <v>6.541</v>
      </c>
      <c r="L44" s="448">
        <f>IF(K44=0,0,(IF(J44/K44&gt;1,1,J44/K44)))</f>
        <v>1</v>
      </c>
      <c r="M44" s="104"/>
      <c r="N44" s="88">
        <f>SUM(L44:L54)/18</f>
        <v>0.6111111111111112</v>
      </c>
      <c r="O44" s="81">
        <f t="shared" si="3"/>
        <v>6.321051826937778</v>
      </c>
    </row>
    <row r="45" spans="1:15" ht="22.5" customHeight="1">
      <c r="A45" s="30">
        <f>+A44+1</f>
        <v>2</v>
      </c>
      <c r="B45" s="5" t="s">
        <v>10</v>
      </c>
      <c r="C45" s="8">
        <f>+C44+1</f>
        <v>2</v>
      </c>
      <c r="D45" s="121" t="s">
        <v>11</v>
      </c>
      <c r="E45" s="427" t="s">
        <v>360</v>
      </c>
      <c r="F45" s="258">
        <v>8861</v>
      </c>
      <c r="G45" s="53">
        <v>53.129</v>
      </c>
      <c r="H45" s="53">
        <v>4.232</v>
      </c>
      <c r="I45" s="53">
        <v>5.482</v>
      </c>
      <c r="J45" s="53">
        <f aca="true" t="shared" si="7" ref="J45:J54">+I45+H45+G45</f>
        <v>62.842999999999996</v>
      </c>
      <c r="K45" s="267">
        <f t="shared" si="6"/>
        <v>9.714</v>
      </c>
      <c r="L45" s="447">
        <f>IF(K45=0,0,(IF(J45/K45&gt;1,1,J45/K45)))</f>
        <v>1</v>
      </c>
      <c r="M45" s="104"/>
      <c r="N45" s="122"/>
      <c r="O45" s="81">
        <f t="shared" si="3"/>
        <v>6.4693226271360915</v>
      </c>
    </row>
    <row r="46" spans="1:15" ht="22.5" customHeight="1">
      <c r="A46" s="30"/>
      <c r="B46" s="5"/>
      <c r="C46" s="8">
        <f aca="true" t="shared" si="8" ref="C46:C54">+C45+1</f>
        <v>3</v>
      </c>
      <c r="D46" s="5" t="s">
        <v>88</v>
      </c>
      <c r="E46" s="427" t="s">
        <v>361</v>
      </c>
      <c r="F46" s="258">
        <v>1108</v>
      </c>
      <c r="G46" s="53">
        <v>5.3474</v>
      </c>
      <c r="H46" s="53">
        <v>0.564</v>
      </c>
      <c r="I46" s="53">
        <v>0</v>
      </c>
      <c r="J46" s="53">
        <f t="shared" si="7"/>
        <v>5.9114</v>
      </c>
      <c r="K46" s="267">
        <v>0.673</v>
      </c>
      <c r="L46" s="447">
        <f aca="true" t="shared" si="9" ref="L46:L54">IF(K46=0,0,(IF(J46/K46&gt;1,1,J46/K46)))</f>
        <v>1</v>
      </c>
      <c r="M46" s="264"/>
      <c r="N46" s="27"/>
      <c r="O46" s="81">
        <f t="shared" si="3"/>
        <v>8.78365527488856</v>
      </c>
    </row>
    <row r="47" spans="1:15" ht="22.5" customHeight="1">
      <c r="A47" s="30"/>
      <c r="B47" s="5"/>
      <c r="C47" s="8">
        <f t="shared" si="8"/>
        <v>4</v>
      </c>
      <c r="D47" s="5" t="s">
        <v>89</v>
      </c>
      <c r="E47" s="427" t="s">
        <v>362</v>
      </c>
      <c r="F47" s="258">
        <v>2577</v>
      </c>
      <c r="G47" s="53">
        <v>7.824</v>
      </c>
      <c r="H47" s="53">
        <v>2.693</v>
      </c>
      <c r="I47" s="53">
        <v>0.119</v>
      </c>
      <c r="J47" s="53">
        <f t="shared" si="7"/>
        <v>10.636</v>
      </c>
      <c r="K47" s="267">
        <f t="shared" si="6"/>
        <v>2.8120000000000003</v>
      </c>
      <c r="L47" s="447">
        <f t="shared" si="9"/>
        <v>1</v>
      </c>
      <c r="M47" s="104">
        <f>+H47+I47</f>
        <v>2.8120000000000003</v>
      </c>
      <c r="N47" s="27"/>
      <c r="O47" s="81">
        <f t="shared" si="3"/>
        <v>3.7823613086770975</v>
      </c>
    </row>
    <row r="48" spans="1:15" ht="22.5" customHeight="1">
      <c r="A48" s="30">
        <v>3</v>
      </c>
      <c r="B48" s="5" t="s">
        <v>90</v>
      </c>
      <c r="C48" s="8">
        <f t="shared" si="8"/>
        <v>5</v>
      </c>
      <c r="D48" s="5" t="s">
        <v>147</v>
      </c>
      <c r="E48" s="427" t="s">
        <v>363</v>
      </c>
      <c r="F48" s="258">
        <v>464</v>
      </c>
      <c r="G48" s="53">
        <v>0.34</v>
      </c>
      <c r="H48" s="53">
        <v>0</v>
      </c>
      <c r="I48" s="53">
        <v>0.37</v>
      </c>
      <c r="J48" s="53">
        <f t="shared" si="7"/>
        <v>0.71</v>
      </c>
      <c r="K48" s="267">
        <f t="shared" si="6"/>
        <v>0.37</v>
      </c>
      <c r="L48" s="447">
        <f t="shared" si="9"/>
        <v>1</v>
      </c>
      <c r="M48" s="169"/>
      <c r="N48" s="27"/>
      <c r="O48" s="81">
        <f t="shared" si="3"/>
        <v>1.9189189189189189</v>
      </c>
    </row>
    <row r="49" spans="1:15" ht="22.5" customHeight="1">
      <c r="A49" s="30"/>
      <c r="B49" s="5"/>
      <c r="C49" s="8">
        <f t="shared" si="8"/>
        <v>6</v>
      </c>
      <c r="D49" s="5" t="s">
        <v>91</v>
      </c>
      <c r="E49" s="427" t="s">
        <v>364</v>
      </c>
      <c r="F49" s="258">
        <v>1325</v>
      </c>
      <c r="G49" s="119">
        <v>0.287</v>
      </c>
      <c r="H49" s="119">
        <v>9.175</v>
      </c>
      <c r="I49" s="119">
        <v>0.076</v>
      </c>
      <c r="J49" s="53">
        <f t="shared" si="7"/>
        <v>9.538000000000002</v>
      </c>
      <c r="K49" s="267">
        <f t="shared" si="6"/>
        <v>9.251000000000001</v>
      </c>
      <c r="L49" s="447">
        <f t="shared" si="9"/>
        <v>1</v>
      </c>
      <c r="M49" s="124">
        <f>+I49+H49</f>
        <v>9.251000000000001</v>
      </c>
      <c r="N49" s="268">
        <f>+K49-M49</f>
        <v>0</v>
      </c>
      <c r="O49" s="81">
        <f t="shared" si="3"/>
        <v>1.03102367311642</v>
      </c>
    </row>
    <row r="50" spans="1:15" ht="22.5" customHeight="1">
      <c r="A50" s="30">
        <f>+A48+1</f>
        <v>4</v>
      </c>
      <c r="B50" s="5" t="s">
        <v>18</v>
      </c>
      <c r="C50" s="8">
        <f t="shared" si="8"/>
        <v>7</v>
      </c>
      <c r="D50" s="121" t="s">
        <v>92</v>
      </c>
      <c r="E50" s="427" t="s">
        <v>365</v>
      </c>
      <c r="F50" s="258">
        <v>4053</v>
      </c>
      <c r="G50" s="119">
        <v>3.065</v>
      </c>
      <c r="H50" s="119">
        <v>0</v>
      </c>
      <c r="I50" s="119">
        <v>1.785</v>
      </c>
      <c r="J50" s="53">
        <f t="shared" si="7"/>
        <v>4.85</v>
      </c>
      <c r="K50" s="267">
        <v>0.57</v>
      </c>
      <c r="L50" s="447">
        <f t="shared" si="9"/>
        <v>1</v>
      </c>
      <c r="M50" s="269"/>
      <c r="N50" s="154"/>
      <c r="O50" s="81">
        <f t="shared" si="3"/>
        <v>8.508771929824562</v>
      </c>
    </row>
    <row r="51" spans="1:15" ht="22.5" customHeight="1">
      <c r="A51" s="30"/>
      <c r="B51" s="5"/>
      <c r="C51" s="8">
        <f t="shared" si="8"/>
        <v>8</v>
      </c>
      <c r="D51" s="121" t="s">
        <v>93</v>
      </c>
      <c r="E51" s="427" t="s">
        <v>366</v>
      </c>
      <c r="F51" s="258">
        <v>18740</v>
      </c>
      <c r="G51" s="119">
        <v>30.578</v>
      </c>
      <c r="H51" s="119">
        <v>6.762</v>
      </c>
      <c r="I51" s="119">
        <v>6.512</v>
      </c>
      <c r="J51" s="53">
        <f t="shared" si="7"/>
        <v>43.852</v>
      </c>
      <c r="K51" s="267">
        <f t="shared" si="6"/>
        <v>13.274</v>
      </c>
      <c r="L51" s="447">
        <f t="shared" si="9"/>
        <v>1</v>
      </c>
      <c r="M51" s="270">
        <f>+I51+H51</f>
        <v>13.274</v>
      </c>
      <c r="N51" s="271">
        <f>+K51-M51</f>
        <v>0</v>
      </c>
      <c r="O51" s="81">
        <f t="shared" si="3"/>
        <v>3.303601024559289</v>
      </c>
    </row>
    <row r="52" spans="1:15" ht="22.5" customHeight="1">
      <c r="A52" s="30">
        <f>+A50+1</f>
        <v>5</v>
      </c>
      <c r="B52" s="5" t="s">
        <v>12</v>
      </c>
      <c r="C52" s="8">
        <f t="shared" si="8"/>
        <v>9</v>
      </c>
      <c r="D52" s="5" t="s">
        <v>148</v>
      </c>
      <c r="E52" s="427" t="s">
        <v>367</v>
      </c>
      <c r="F52" s="258">
        <v>2342</v>
      </c>
      <c r="G52" s="119">
        <v>0</v>
      </c>
      <c r="H52" s="288">
        <v>1.5</v>
      </c>
      <c r="I52" s="119">
        <v>0</v>
      </c>
      <c r="J52" s="53">
        <f t="shared" si="7"/>
        <v>1.5</v>
      </c>
      <c r="K52" s="267">
        <f t="shared" si="6"/>
        <v>1.5</v>
      </c>
      <c r="L52" s="447">
        <f t="shared" si="9"/>
        <v>1</v>
      </c>
      <c r="M52" s="272"/>
      <c r="N52" s="154"/>
      <c r="O52" s="81">
        <f t="shared" si="3"/>
        <v>1</v>
      </c>
    </row>
    <row r="53" spans="1:15" ht="22.5" customHeight="1">
      <c r="A53" s="30"/>
      <c r="B53" s="5"/>
      <c r="C53" s="8">
        <f t="shared" si="8"/>
        <v>10</v>
      </c>
      <c r="D53" s="5" t="s">
        <v>157</v>
      </c>
      <c r="E53" s="428" t="s">
        <v>368</v>
      </c>
      <c r="F53" s="374">
        <v>1.06</v>
      </c>
      <c r="G53" s="119">
        <v>0.338</v>
      </c>
      <c r="H53" s="119">
        <v>0</v>
      </c>
      <c r="I53" s="119">
        <v>0.215</v>
      </c>
      <c r="J53" s="53">
        <f t="shared" si="7"/>
        <v>0.553</v>
      </c>
      <c r="K53" s="267">
        <f t="shared" si="6"/>
        <v>0.215</v>
      </c>
      <c r="L53" s="447">
        <f t="shared" si="9"/>
        <v>1</v>
      </c>
      <c r="M53" s="273">
        <f>+H53-K53</f>
        <v>-0.215</v>
      </c>
      <c r="N53" s="154"/>
      <c r="O53" s="81">
        <f t="shared" si="3"/>
        <v>2.5720930232558143</v>
      </c>
    </row>
    <row r="54" spans="1:15" ht="22.5" customHeight="1" thickBot="1">
      <c r="A54" s="30">
        <f>+A52+1</f>
        <v>6</v>
      </c>
      <c r="B54" s="5" t="s">
        <v>14</v>
      </c>
      <c r="C54" s="8">
        <f t="shared" si="8"/>
        <v>11</v>
      </c>
      <c r="D54" s="262" t="s">
        <v>155</v>
      </c>
      <c r="E54" s="414" t="s">
        <v>369</v>
      </c>
      <c r="F54" s="375" t="s">
        <v>156</v>
      </c>
      <c r="G54" s="119">
        <v>1.032</v>
      </c>
      <c r="H54" s="119">
        <v>12.24</v>
      </c>
      <c r="I54" s="119">
        <v>0</v>
      </c>
      <c r="J54" s="53">
        <f t="shared" si="7"/>
        <v>13.272</v>
      </c>
      <c r="K54" s="267">
        <v>4.267</v>
      </c>
      <c r="L54" s="447">
        <f t="shared" si="9"/>
        <v>1</v>
      </c>
      <c r="M54" s="104"/>
      <c r="N54" s="27"/>
      <c r="O54" s="81">
        <f t="shared" si="3"/>
        <v>3.11038200140614</v>
      </c>
    </row>
    <row r="55" spans="1:15" ht="22.5" customHeight="1" thickBot="1">
      <c r="A55" s="60"/>
      <c r="B55" s="566" t="s">
        <v>134</v>
      </c>
      <c r="C55" s="567"/>
      <c r="D55" s="568"/>
      <c r="E55" s="429"/>
      <c r="F55" s="372">
        <f aca="true" t="shared" si="10" ref="F55:K55">SUM(F44:F54)</f>
        <v>43824.06</v>
      </c>
      <c r="G55" s="61">
        <f t="shared" si="10"/>
        <v>136.7454</v>
      </c>
      <c r="H55" s="61">
        <f t="shared" si="10"/>
        <v>41.538000000000004</v>
      </c>
      <c r="I55" s="61">
        <f t="shared" si="10"/>
        <v>16.727999999999998</v>
      </c>
      <c r="J55" s="61">
        <f t="shared" si="10"/>
        <v>195.01139999999998</v>
      </c>
      <c r="K55" s="449">
        <f t="shared" si="10"/>
        <v>49.18700000000001</v>
      </c>
      <c r="L55" s="450">
        <f>IF(K55=0,0,(IF(J55/K55&gt;1,1,J55/K55)))</f>
        <v>1</v>
      </c>
      <c r="M55" s="169"/>
      <c r="N55" s="27"/>
      <c r="O55" s="81">
        <f t="shared" si="3"/>
        <v>3.964693923191086</v>
      </c>
    </row>
    <row r="56" spans="1:15" ht="22.5" customHeight="1" thickBot="1" thickTop="1">
      <c r="A56" s="26" t="s">
        <v>77</v>
      </c>
      <c r="B56" s="573" t="s">
        <v>78</v>
      </c>
      <c r="C56" s="574"/>
      <c r="D56" s="574"/>
      <c r="E56" s="430"/>
      <c r="F56" s="376"/>
      <c r="G56" s="72"/>
      <c r="H56" s="19"/>
      <c r="I56" s="19"/>
      <c r="J56" s="19"/>
      <c r="K56" s="19"/>
      <c r="L56" s="379"/>
      <c r="M56" s="169"/>
      <c r="N56" s="27"/>
      <c r="O56" s="81" t="e">
        <f t="shared" si="3"/>
        <v>#DIV/0!</v>
      </c>
    </row>
    <row r="57" spans="1:15" ht="22.5" customHeight="1" thickTop="1">
      <c r="A57" s="38">
        <v>1</v>
      </c>
      <c r="B57" s="4" t="s">
        <v>13</v>
      </c>
      <c r="C57" s="52">
        <v>1</v>
      </c>
      <c r="D57" s="11" t="s">
        <v>184</v>
      </c>
      <c r="E57" s="426" t="s">
        <v>370</v>
      </c>
      <c r="F57" s="260">
        <v>1379</v>
      </c>
      <c r="G57" s="461">
        <v>0.35</v>
      </c>
      <c r="H57" s="461">
        <v>0.3</v>
      </c>
      <c r="I57" s="461">
        <v>0.65</v>
      </c>
      <c r="J57" s="465">
        <f aca="true" t="shared" si="11" ref="J57:J66">G57+H57+I57</f>
        <v>1.2999999999999998</v>
      </c>
      <c r="K57" s="461">
        <v>1.44</v>
      </c>
      <c r="L57" s="466">
        <f>IF(K57=0,0,(IF(J57/K57&gt;1,1,J57/K57)))</f>
        <v>0.9027777777777777</v>
      </c>
      <c r="M57" s="57"/>
      <c r="N57" s="88">
        <f>SUM(L57:L67)/12</f>
        <v>0.69765159385098</v>
      </c>
      <c r="O57" s="81">
        <f t="shared" si="3"/>
        <v>0.9027777777777777</v>
      </c>
    </row>
    <row r="58" spans="1:15" ht="22.5" customHeight="1">
      <c r="A58" s="38">
        <v>2</v>
      </c>
      <c r="B58" s="4"/>
      <c r="C58" s="52">
        <f>+C57+1</f>
        <v>2</v>
      </c>
      <c r="D58" s="11" t="s">
        <v>151</v>
      </c>
      <c r="E58" s="431" t="s">
        <v>371</v>
      </c>
      <c r="F58" s="260">
        <v>989</v>
      </c>
      <c r="G58" s="463">
        <v>5.74</v>
      </c>
      <c r="H58" s="463">
        <v>0.531</v>
      </c>
      <c r="I58" s="464" t="s">
        <v>70</v>
      </c>
      <c r="J58" s="465">
        <f t="shared" si="11"/>
        <v>6.271</v>
      </c>
      <c r="K58" s="463">
        <v>0.606</v>
      </c>
      <c r="L58" s="466">
        <f>IF(K58=0,0,(IF(J58/K58&gt;1,1,J58/K58)))</f>
        <v>1</v>
      </c>
      <c r="M58" s="105"/>
      <c r="N58" s="27"/>
      <c r="O58" s="81">
        <f t="shared" si="3"/>
        <v>10.348184818481847</v>
      </c>
    </row>
    <row r="59" spans="1:15" ht="22.5" customHeight="1">
      <c r="A59" s="28">
        <v>3</v>
      </c>
      <c r="B59" s="7" t="s">
        <v>14</v>
      </c>
      <c r="C59" s="52">
        <f aca="true" t="shared" si="12" ref="C59:C70">+C58+1</f>
        <v>3</v>
      </c>
      <c r="D59" s="121" t="s">
        <v>15</v>
      </c>
      <c r="E59" s="427" t="s">
        <v>372</v>
      </c>
      <c r="F59" s="258">
        <v>5137</v>
      </c>
      <c r="G59" s="463" t="s">
        <v>70</v>
      </c>
      <c r="H59" s="463">
        <v>0.92</v>
      </c>
      <c r="I59" s="463">
        <v>0.617</v>
      </c>
      <c r="J59" s="465">
        <v>1.537</v>
      </c>
      <c r="K59" s="463">
        <v>4.11</v>
      </c>
      <c r="L59" s="466">
        <f>IF(K59=0,0,(IF(J59/K59&gt;1,1,J59/K59)))</f>
        <v>0.37396593673965933</v>
      </c>
      <c r="M59" s="170"/>
      <c r="N59" s="143" t="s">
        <v>180</v>
      </c>
      <c r="O59" s="81">
        <f t="shared" si="3"/>
        <v>0.37396593673965933</v>
      </c>
    </row>
    <row r="60" spans="1:15" ht="22.5" customHeight="1">
      <c r="A60" s="28">
        <v>4</v>
      </c>
      <c r="B60" s="7" t="s">
        <v>20</v>
      </c>
      <c r="C60" s="52">
        <f t="shared" si="12"/>
        <v>4</v>
      </c>
      <c r="D60" s="398" t="s">
        <v>21</v>
      </c>
      <c r="E60" s="427" t="s">
        <v>373</v>
      </c>
      <c r="F60" s="258">
        <v>665</v>
      </c>
      <c r="G60" s="463" t="s">
        <v>70</v>
      </c>
      <c r="H60" s="463">
        <v>0</v>
      </c>
      <c r="I60" s="463" t="s">
        <v>70</v>
      </c>
      <c r="J60" s="465">
        <f t="shared" si="11"/>
        <v>0</v>
      </c>
      <c r="K60" s="463"/>
      <c r="L60" s="462"/>
      <c r="M60" s="170"/>
      <c r="N60" s="27"/>
      <c r="O60" s="81" t="e">
        <f t="shared" si="3"/>
        <v>#DIV/0!</v>
      </c>
    </row>
    <row r="61" spans="1:15" ht="22.5" customHeight="1">
      <c r="A61" s="28">
        <v>5</v>
      </c>
      <c r="B61" s="7"/>
      <c r="C61" s="52">
        <f t="shared" si="12"/>
        <v>5</v>
      </c>
      <c r="D61" s="5" t="s">
        <v>152</v>
      </c>
      <c r="E61" s="427" t="s">
        <v>374</v>
      </c>
      <c r="F61" s="258">
        <v>1590</v>
      </c>
      <c r="G61" s="463">
        <v>2.664</v>
      </c>
      <c r="H61" s="463">
        <v>1.694</v>
      </c>
      <c r="I61" s="463">
        <v>0</v>
      </c>
      <c r="J61" s="465">
        <f t="shared" si="11"/>
        <v>4.3580000000000005</v>
      </c>
      <c r="K61" s="463">
        <v>1.272</v>
      </c>
      <c r="L61" s="466">
        <f aca="true" t="shared" si="13" ref="L61:L70">IF(K61=0,0,(IF(J61/K61&gt;1,1,J61/K61)))</f>
        <v>1</v>
      </c>
      <c r="M61" s="170"/>
      <c r="N61" s="27"/>
      <c r="O61" s="81">
        <f t="shared" si="3"/>
        <v>3.426100628930818</v>
      </c>
    </row>
    <row r="62" spans="1:15" ht="22.5" customHeight="1">
      <c r="A62" s="28">
        <v>6</v>
      </c>
      <c r="B62" s="7" t="s">
        <v>24</v>
      </c>
      <c r="C62" s="52">
        <f t="shared" si="12"/>
        <v>6</v>
      </c>
      <c r="D62" s="399" t="s">
        <v>328</v>
      </c>
      <c r="E62" s="427" t="s">
        <v>375</v>
      </c>
      <c r="F62" s="258">
        <v>136</v>
      </c>
      <c r="G62" s="463">
        <v>0</v>
      </c>
      <c r="H62" s="463">
        <v>0.065</v>
      </c>
      <c r="I62" s="463">
        <v>0.054</v>
      </c>
      <c r="J62" s="465">
        <f t="shared" si="11"/>
        <v>0.119</v>
      </c>
      <c r="K62" s="463">
        <v>0.109</v>
      </c>
      <c r="L62" s="466">
        <f t="shared" si="13"/>
        <v>1</v>
      </c>
      <c r="M62" s="170"/>
      <c r="N62" s="27"/>
      <c r="O62" s="81">
        <f t="shared" si="3"/>
        <v>1.091743119266055</v>
      </c>
    </row>
    <row r="63" spans="1:15" ht="22.5" customHeight="1">
      <c r="A63" s="28">
        <v>7</v>
      </c>
      <c r="B63" s="7" t="s">
        <v>22</v>
      </c>
      <c r="C63" s="52">
        <f t="shared" si="12"/>
        <v>7</v>
      </c>
      <c r="D63" s="5" t="s">
        <v>153</v>
      </c>
      <c r="E63" s="427" t="s">
        <v>376</v>
      </c>
      <c r="F63" s="258">
        <v>1375</v>
      </c>
      <c r="G63" s="463">
        <v>3.077</v>
      </c>
      <c r="H63" s="463">
        <v>0.674</v>
      </c>
      <c r="I63" s="463">
        <v>0.749</v>
      </c>
      <c r="J63" s="465">
        <f t="shared" si="11"/>
        <v>4.5</v>
      </c>
      <c r="K63" s="463">
        <v>1.042</v>
      </c>
      <c r="L63" s="466">
        <f t="shared" si="13"/>
        <v>1</v>
      </c>
      <c r="M63" s="171"/>
      <c r="N63" s="27"/>
      <c r="O63" s="81">
        <f t="shared" si="3"/>
        <v>4.318618042226487</v>
      </c>
    </row>
    <row r="64" spans="1:15" ht="22.5" customHeight="1">
      <c r="A64" s="28">
        <v>8</v>
      </c>
      <c r="B64" s="7" t="s">
        <v>24</v>
      </c>
      <c r="C64" s="52">
        <f t="shared" si="12"/>
        <v>8</v>
      </c>
      <c r="D64" s="5" t="s">
        <v>25</v>
      </c>
      <c r="E64" s="414" t="s">
        <v>377</v>
      </c>
      <c r="F64" s="258">
        <v>2865</v>
      </c>
      <c r="G64" s="464">
        <v>0.7</v>
      </c>
      <c r="H64" s="463">
        <v>0.75</v>
      </c>
      <c r="I64" s="463">
        <v>1.5</v>
      </c>
      <c r="J64" s="465">
        <f t="shared" si="11"/>
        <v>2.95</v>
      </c>
      <c r="K64" s="463">
        <v>1.52</v>
      </c>
      <c r="L64" s="466">
        <f t="shared" si="13"/>
        <v>1</v>
      </c>
      <c r="M64" s="172"/>
      <c r="N64" s="27"/>
      <c r="O64" s="81">
        <f t="shared" si="3"/>
        <v>1.9407894736842106</v>
      </c>
    </row>
    <row r="65" spans="1:15" ht="22.5" customHeight="1">
      <c r="A65" s="28">
        <v>9</v>
      </c>
      <c r="B65" s="9"/>
      <c r="C65" s="52">
        <f t="shared" si="12"/>
        <v>9</v>
      </c>
      <c r="D65" s="10" t="s">
        <v>154</v>
      </c>
      <c r="E65" s="414" t="s">
        <v>378</v>
      </c>
      <c r="F65" s="258">
        <v>683</v>
      </c>
      <c r="G65" s="464">
        <v>0</v>
      </c>
      <c r="H65" s="463">
        <v>0.321</v>
      </c>
      <c r="I65" s="463" t="s">
        <v>70</v>
      </c>
      <c r="J65" s="465">
        <f t="shared" si="11"/>
        <v>0.321</v>
      </c>
      <c r="K65" s="463">
        <v>0.546</v>
      </c>
      <c r="L65" s="466">
        <f t="shared" si="13"/>
        <v>0.5879120879120879</v>
      </c>
      <c r="M65" s="57"/>
      <c r="N65" s="27"/>
      <c r="O65" s="81">
        <f t="shared" si="3"/>
        <v>0.5879120879120879</v>
      </c>
    </row>
    <row r="66" spans="1:15" ht="22.5" customHeight="1">
      <c r="A66" s="30">
        <v>10</v>
      </c>
      <c r="B66" s="9" t="s">
        <v>26</v>
      </c>
      <c r="C66" s="52">
        <f t="shared" si="12"/>
        <v>10</v>
      </c>
      <c r="D66" s="256" t="s">
        <v>27</v>
      </c>
      <c r="E66" s="414" t="s">
        <v>379</v>
      </c>
      <c r="F66" s="257">
        <v>3760</v>
      </c>
      <c r="G66" s="463">
        <v>0</v>
      </c>
      <c r="H66" s="463">
        <v>0.618</v>
      </c>
      <c r="I66" s="463">
        <v>0.444</v>
      </c>
      <c r="J66" s="465">
        <f t="shared" si="11"/>
        <v>1.062</v>
      </c>
      <c r="K66" s="463">
        <v>2.094</v>
      </c>
      <c r="L66" s="466">
        <f t="shared" si="13"/>
        <v>0.507163323782235</v>
      </c>
      <c r="M66" s="170"/>
      <c r="N66" s="179"/>
      <c r="O66" s="81">
        <f t="shared" si="3"/>
        <v>0.507163323782235</v>
      </c>
    </row>
    <row r="67" spans="1:15" ht="22.5" customHeight="1">
      <c r="A67" s="30">
        <v>11</v>
      </c>
      <c r="B67" s="9"/>
      <c r="C67" s="282">
        <f t="shared" si="12"/>
        <v>11</v>
      </c>
      <c r="D67" s="10" t="s">
        <v>146</v>
      </c>
      <c r="E67" s="414" t="s">
        <v>380</v>
      </c>
      <c r="F67" s="257">
        <v>1759</v>
      </c>
      <c r="G67" s="463">
        <v>0</v>
      </c>
      <c r="H67" s="463">
        <v>1.192</v>
      </c>
      <c r="I67" s="463">
        <v>0.214</v>
      </c>
      <c r="J67" s="465">
        <f>G67+H67+I67</f>
        <v>1.406</v>
      </c>
      <c r="K67" s="463">
        <v>1.229</v>
      </c>
      <c r="L67" s="466">
        <f t="shared" si="13"/>
        <v>1</v>
      </c>
      <c r="M67" s="170"/>
      <c r="N67" s="27"/>
      <c r="O67" s="81">
        <f t="shared" si="3"/>
        <v>1.1440195280716028</v>
      </c>
    </row>
    <row r="68" spans="1:15" ht="22.5" customHeight="1">
      <c r="A68" s="30">
        <v>12</v>
      </c>
      <c r="B68" s="283" t="s">
        <v>18</v>
      </c>
      <c r="C68" s="8">
        <f t="shared" si="12"/>
        <v>12</v>
      </c>
      <c r="D68" s="436" t="s">
        <v>250</v>
      </c>
      <c r="E68" s="414" t="s">
        <v>372</v>
      </c>
      <c r="F68" s="257">
        <v>6038</v>
      </c>
      <c r="G68" s="463">
        <v>79.084</v>
      </c>
      <c r="H68" s="463" t="s">
        <v>70</v>
      </c>
      <c r="I68" s="463">
        <v>3</v>
      </c>
      <c r="J68" s="465">
        <f>G68+H68+I68</f>
        <v>82.084</v>
      </c>
      <c r="K68" s="463">
        <v>12.844</v>
      </c>
      <c r="L68" s="466">
        <f t="shared" si="13"/>
        <v>1</v>
      </c>
      <c r="M68" s="170"/>
      <c r="N68" s="27"/>
      <c r="O68" s="81"/>
    </row>
    <row r="69" spans="1:15" ht="22.5" customHeight="1">
      <c r="A69" s="30">
        <v>13</v>
      </c>
      <c r="B69" s="284"/>
      <c r="C69" s="8">
        <f t="shared" si="12"/>
        <v>13</v>
      </c>
      <c r="D69" s="278" t="s">
        <v>251</v>
      </c>
      <c r="E69" s="427" t="s">
        <v>372</v>
      </c>
      <c r="F69" s="258">
        <v>16055</v>
      </c>
      <c r="G69" s="463">
        <v>50.8</v>
      </c>
      <c r="H69" s="463" t="s">
        <v>70</v>
      </c>
      <c r="I69" s="463">
        <v>14.07</v>
      </c>
      <c r="J69" s="465">
        <f>G69+H69+I69</f>
        <v>64.87</v>
      </c>
      <c r="K69" s="463">
        <v>12.844</v>
      </c>
      <c r="L69" s="466">
        <f t="shared" si="13"/>
        <v>1</v>
      </c>
      <c r="M69" s="170"/>
      <c r="N69" s="27"/>
      <c r="O69" s="81"/>
    </row>
    <row r="70" spans="1:15" ht="22.5" customHeight="1" thickBot="1">
      <c r="A70" s="30">
        <v>14</v>
      </c>
      <c r="B70" s="48"/>
      <c r="C70" s="285">
        <f t="shared" si="12"/>
        <v>14</v>
      </c>
      <c r="D70" s="387" t="s">
        <v>252</v>
      </c>
      <c r="E70" s="426" t="s">
        <v>381</v>
      </c>
      <c r="F70" s="373">
        <v>37732</v>
      </c>
      <c r="G70" s="463">
        <v>67</v>
      </c>
      <c r="H70" s="463">
        <v>8.618</v>
      </c>
      <c r="I70" s="463">
        <v>17.057</v>
      </c>
      <c r="J70" s="465">
        <f>G70+H70+I70</f>
        <v>92.675</v>
      </c>
      <c r="K70" s="463">
        <v>30.186</v>
      </c>
      <c r="L70" s="466">
        <f t="shared" si="13"/>
        <v>1</v>
      </c>
      <c r="M70" s="170"/>
      <c r="N70" s="27"/>
      <c r="O70" s="81"/>
    </row>
    <row r="71" spans="1:15" ht="22.5" customHeight="1" thickBot="1">
      <c r="A71" s="39"/>
      <c r="B71" s="566" t="s">
        <v>135</v>
      </c>
      <c r="C71" s="567"/>
      <c r="D71" s="568"/>
      <c r="E71" s="372"/>
      <c r="F71" s="372">
        <f aca="true" t="shared" si="14" ref="F71:K71">SUM(F57:F70)</f>
        <v>80163</v>
      </c>
      <c r="G71" s="80">
        <f t="shared" si="14"/>
        <v>209.41500000000002</v>
      </c>
      <c r="H71" s="61">
        <f t="shared" si="14"/>
        <v>15.683</v>
      </c>
      <c r="I71" s="61">
        <f t="shared" si="14"/>
        <v>38.355000000000004</v>
      </c>
      <c r="J71" s="61">
        <f t="shared" si="14"/>
        <v>263.45300000000003</v>
      </c>
      <c r="K71" s="449">
        <f t="shared" si="14"/>
        <v>69.842</v>
      </c>
      <c r="L71" s="451">
        <f>IF((J71/K71)&gt;1,1,J71/K71)</f>
        <v>1</v>
      </c>
      <c r="M71" s="173"/>
      <c r="N71" s="27"/>
      <c r="O71" s="81">
        <f t="shared" si="3"/>
        <v>3.7721285186563964</v>
      </c>
    </row>
    <row r="72" spans="1:15" ht="24.75" customHeight="1">
      <c r="A72" s="167"/>
      <c r="B72" s="274"/>
      <c r="C72" s="274"/>
      <c r="D72" s="274" t="s">
        <v>335</v>
      </c>
      <c r="E72" s="274"/>
      <c r="F72" s="275"/>
      <c r="G72" s="68"/>
      <c r="H72" s="276"/>
      <c r="I72" s="276"/>
      <c r="J72" s="276"/>
      <c r="K72" s="276"/>
      <c r="L72" s="277"/>
      <c r="M72" s="173"/>
      <c r="N72" s="27"/>
      <c r="O72" s="81"/>
    </row>
    <row r="73" spans="1:15" ht="24.75" customHeight="1">
      <c r="A73" s="167"/>
      <c r="B73" s="274"/>
      <c r="C73" s="274"/>
      <c r="D73" s="274"/>
      <c r="E73" s="274"/>
      <c r="F73" s="64"/>
      <c r="G73" s="68"/>
      <c r="H73" s="276"/>
      <c r="I73" s="276"/>
      <c r="J73" s="276"/>
      <c r="K73" s="276"/>
      <c r="L73" s="277"/>
      <c r="M73" s="173"/>
      <c r="N73" s="27"/>
      <c r="O73" s="81"/>
    </row>
    <row r="74" spans="1:15" ht="24.75" customHeight="1">
      <c r="A74" s="167"/>
      <c r="B74" s="274"/>
      <c r="C74" s="274"/>
      <c r="D74" s="274"/>
      <c r="E74" s="274"/>
      <c r="F74" s="64"/>
      <c r="G74" s="68"/>
      <c r="H74" s="276"/>
      <c r="I74" s="276"/>
      <c r="J74" s="276"/>
      <c r="K74" s="276"/>
      <c r="L74" s="277"/>
      <c r="M74" s="173"/>
      <c r="N74" s="27"/>
      <c r="O74" s="81"/>
    </row>
    <row r="75" spans="1:15" ht="24.75" customHeight="1">
      <c r="A75" s="167"/>
      <c r="B75" s="274"/>
      <c r="C75" s="274"/>
      <c r="D75" s="274"/>
      <c r="E75" s="274"/>
      <c r="F75" s="64"/>
      <c r="G75" s="68"/>
      <c r="H75" s="276"/>
      <c r="I75" s="276"/>
      <c r="J75" s="276"/>
      <c r="K75" s="276"/>
      <c r="L75" s="277"/>
      <c r="M75" s="173"/>
      <c r="N75" s="27"/>
      <c r="O75" s="81"/>
    </row>
    <row r="76" spans="1:15" ht="24.75" customHeight="1">
      <c r="A76" s="167"/>
      <c r="B76" s="274"/>
      <c r="C76" s="274"/>
      <c r="D76" s="274"/>
      <c r="E76" s="274"/>
      <c r="F76" s="64"/>
      <c r="G76" s="68"/>
      <c r="H76" s="276"/>
      <c r="I76" s="276"/>
      <c r="J76" s="276"/>
      <c r="K76" s="276"/>
      <c r="L76" s="277"/>
      <c r="M76" s="173"/>
      <c r="N76" s="27"/>
      <c r="O76" s="81"/>
    </row>
    <row r="77" spans="1:15" ht="24.75" customHeight="1">
      <c r="A77" s="167"/>
      <c r="B77" s="274"/>
      <c r="C77" s="274"/>
      <c r="D77" s="274"/>
      <c r="E77" s="274"/>
      <c r="F77" s="64"/>
      <c r="G77" s="68"/>
      <c r="H77" s="276"/>
      <c r="I77" s="276"/>
      <c r="J77" s="276"/>
      <c r="K77" s="276"/>
      <c r="L77" s="277"/>
      <c r="M77" s="173"/>
      <c r="N77" s="27"/>
      <c r="O77" s="81"/>
    </row>
    <row r="78" spans="1:15" ht="24.75" customHeight="1">
      <c r="A78" s="167"/>
      <c r="B78" s="274"/>
      <c r="C78" s="274"/>
      <c r="D78" s="274"/>
      <c r="E78" s="274"/>
      <c r="F78" s="64"/>
      <c r="G78" s="68"/>
      <c r="H78" s="276"/>
      <c r="I78" s="276"/>
      <c r="J78" s="276"/>
      <c r="K78" s="276"/>
      <c r="L78" s="277"/>
      <c r="M78" s="173"/>
      <c r="N78" s="27"/>
      <c r="O78" s="81"/>
    </row>
    <row r="79" spans="1:15" ht="24.75" customHeight="1">
      <c r="A79" s="167"/>
      <c r="B79" s="274"/>
      <c r="C79" s="274"/>
      <c r="D79" s="274"/>
      <c r="E79" s="274"/>
      <c r="F79" s="64"/>
      <c r="G79" s="68"/>
      <c r="H79" s="276"/>
      <c r="I79" s="276"/>
      <c r="J79" s="276"/>
      <c r="K79" s="276"/>
      <c r="L79" s="277"/>
      <c r="M79" s="173"/>
      <c r="N79" s="27"/>
      <c r="O79" s="81"/>
    </row>
    <row r="80" spans="1:15" ht="24.75" customHeight="1">
      <c r="A80" s="167"/>
      <c r="B80" s="274"/>
      <c r="C80" s="274"/>
      <c r="D80" s="274"/>
      <c r="E80" s="274"/>
      <c r="F80" s="64"/>
      <c r="G80" s="68"/>
      <c r="H80" s="276"/>
      <c r="I80" s="276"/>
      <c r="J80" s="276"/>
      <c r="K80" s="276"/>
      <c r="L80" s="277"/>
      <c r="M80" s="173"/>
      <c r="N80" s="27"/>
      <c r="O80" s="81"/>
    </row>
    <row r="81" spans="1:15" ht="24.75" customHeight="1">
      <c r="A81" s="167"/>
      <c r="B81" s="274"/>
      <c r="C81" s="274"/>
      <c r="D81" s="274"/>
      <c r="E81" s="274"/>
      <c r="F81" s="64"/>
      <c r="G81" s="68"/>
      <c r="H81" s="276"/>
      <c r="I81" s="276"/>
      <c r="J81" s="276"/>
      <c r="K81" s="276"/>
      <c r="L81" s="277"/>
      <c r="M81" s="173"/>
      <c r="N81" s="27"/>
      <c r="O81" s="81"/>
    </row>
    <row r="82" spans="1:15" ht="24.75" customHeight="1">
      <c r="A82" s="167"/>
      <c r="B82" s="274"/>
      <c r="C82" s="274"/>
      <c r="D82" s="274"/>
      <c r="E82" s="274"/>
      <c r="F82" s="64"/>
      <c r="G82" s="68"/>
      <c r="H82" s="276"/>
      <c r="I82" s="276"/>
      <c r="J82" s="276"/>
      <c r="K82" s="276"/>
      <c r="L82" s="277"/>
      <c r="M82" s="173"/>
      <c r="N82" s="27"/>
      <c r="O82" s="81"/>
    </row>
    <row r="83" spans="1:15" ht="24.75" customHeight="1">
      <c r="A83" s="167"/>
      <c r="B83" s="274"/>
      <c r="C83" s="274"/>
      <c r="D83" s="274"/>
      <c r="E83" s="274"/>
      <c r="F83" s="64"/>
      <c r="G83" s="68"/>
      <c r="H83" s="276"/>
      <c r="I83" s="276"/>
      <c r="J83" s="276"/>
      <c r="K83" s="276"/>
      <c r="L83" s="277"/>
      <c r="M83" s="173"/>
      <c r="N83" s="27"/>
      <c r="O83" s="81"/>
    </row>
    <row r="84" spans="1:15" ht="24.75" customHeight="1">
      <c r="A84" s="167"/>
      <c r="B84" s="274"/>
      <c r="C84" s="274"/>
      <c r="D84" s="274"/>
      <c r="E84" s="274"/>
      <c r="F84" s="64"/>
      <c r="G84" s="68"/>
      <c r="H84" s="276"/>
      <c r="I84" s="276"/>
      <c r="J84" s="276"/>
      <c r="K84" s="276"/>
      <c r="L84" s="277"/>
      <c r="M84" s="173"/>
      <c r="N84" s="27"/>
      <c r="O84" s="81"/>
    </row>
    <row r="85" spans="1:15" ht="24.75" customHeight="1">
      <c r="A85" s="167"/>
      <c r="B85" s="274"/>
      <c r="C85" s="274"/>
      <c r="D85" s="274"/>
      <c r="E85" s="274"/>
      <c r="F85" s="64"/>
      <c r="G85" s="68"/>
      <c r="H85" s="276"/>
      <c r="I85" s="276"/>
      <c r="J85" s="276"/>
      <c r="K85" s="276"/>
      <c r="L85" s="277"/>
      <c r="M85" s="173"/>
      <c r="N85" s="27"/>
      <c r="O85" s="81"/>
    </row>
    <row r="86" spans="1:15" ht="24.75" customHeight="1">
      <c r="A86" s="167"/>
      <c r="B86" s="274"/>
      <c r="C86" s="274"/>
      <c r="D86" s="274"/>
      <c r="E86" s="274"/>
      <c r="F86" s="64"/>
      <c r="G86" s="68"/>
      <c r="H86" s="276"/>
      <c r="I86" s="276"/>
      <c r="J86" s="276"/>
      <c r="K86" s="276"/>
      <c r="L86" s="277"/>
      <c r="M86" s="173"/>
      <c r="N86" s="27"/>
      <c r="O86" s="81"/>
    </row>
    <row r="87" spans="1:15" ht="24.75" customHeight="1">
      <c r="A87" s="167"/>
      <c r="B87" s="274"/>
      <c r="C87" s="274"/>
      <c r="D87" s="274"/>
      <c r="E87" s="274"/>
      <c r="F87" s="64"/>
      <c r="G87" s="68"/>
      <c r="H87" s="276"/>
      <c r="I87" s="276"/>
      <c r="J87" s="276"/>
      <c r="K87" s="276"/>
      <c r="L87" s="277"/>
      <c r="M87" s="173"/>
      <c r="N87" s="27"/>
      <c r="O87" s="81"/>
    </row>
    <row r="88" spans="1:15" ht="24.75" customHeight="1">
      <c r="A88" s="167"/>
      <c r="B88" s="274"/>
      <c r="C88" s="274"/>
      <c r="D88" s="274"/>
      <c r="E88" s="274"/>
      <c r="F88" s="64"/>
      <c r="G88" s="68"/>
      <c r="H88" s="276"/>
      <c r="I88" s="276"/>
      <c r="J88" s="276"/>
      <c r="K88" s="276"/>
      <c r="L88" s="277"/>
      <c r="M88" s="173"/>
      <c r="N88" s="27"/>
      <c r="O88" s="81"/>
    </row>
    <row r="89" spans="1:15" ht="24.75" customHeight="1">
      <c r="A89" s="167"/>
      <c r="B89" s="274"/>
      <c r="C89" s="274"/>
      <c r="D89" s="274"/>
      <c r="E89" s="274"/>
      <c r="F89" s="64"/>
      <c r="G89" s="68"/>
      <c r="H89" s="276"/>
      <c r="I89" s="276"/>
      <c r="J89" s="276"/>
      <c r="K89" s="276"/>
      <c r="L89" s="277"/>
      <c r="M89" s="173"/>
      <c r="N89" s="27"/>
      <c r="O89" s="81"/>
    </row>
    <row r="90" spans="1:15" ht="24.75" customHeight="1">
      <c r="A90" s="167"/>
      <c r="B90" s="274"/>
      <c r="C90" s="274"/>
      <c r="D90" s="274"/>
      <c r="E90" s="274"/>
      <c r="F90" s="64"/>
      <c r="G90" s="68"/>
      <c r="H90" s="276"/>
      <c r="I90" s="276"/>
      <c r="J90" s="276"/>
      <c r="K90" s="276"/>
      <c r="L90" s="277"/>
      <c r="M90" s="173"/>
      <c r="N90" s="27"/>
      <c r="O90" s="81"/>
    </row>
    <row r="91" spans="1:15" ht="24.75" customHeight="1">
      <c r="A91" s="167"/>
      <c r="B91" s="274"/>
      <c r="C91" s="274"/>
      <c r="D91" s="274"/>
      <c r="E91" s="274"/>
      <c r="F91" s="64"/>
      <c r="G91" s="68"/>
      <c r="H91" s="276"/>
      <c r="I91" s="276"/>
      <c r="J91" s="276"/>
      <c r="K91" s="276"/>
      <c r="L91" s="277"/>
      <c r="M91" s="173"/>
      <c r="N91" s="27"/>
      <c r="O91" s="81"/>
    </row>
    <row r="92" spans="1:15" ht="24.75" customHeight="1">
      <c r="A92" s="167"/>
      <c r="B92" s="274"/>
      <c r="C92" s="274"/>
      <c r="D92" s="274"/>
      <c r="E92" s="274"/>
      <c r="F92" s="64"/>
      <c r="G92" s="68"/>
      <c r="H92" s="276"/>
      <c r="I92" s="276"/>
      <c r="J92" s="276"/>
      <c r="K92" s="276"/>
      <c r="L92" s="277"/>
      <c r="M92" s="173"/>
      <c r="N92" s="27"/>
      <c r="O92" s="81"/>
    </row>
    <row r="93" spans="1:15" ht="24.75" customHeight="1" thickBot="1">
      <c r="A93" s="167"/>
      <c r="B93" s="274"/>
      <c r="C93" s="274"/>
      <c r="D93" s="274"/>
      <c r="E93" s="274"/>
      <c r="F93" s="64"/>
      <c r="G93" s="68"/>
      <c r="H93" s="276"/>
      <c r="I93" s="276"/>
      <c r="J93" s="276"/>
      <c r="K93" s="276"/>
      <c r="L93" s="277"/>
      <c r="M93" s="173"/>
      <c r="N93" s="27"/>
      <c r="O93" s="81"/>
    </row>
    <row r="94" spans="2:13" ht="16.5" customHeight="1" thickBot="1">
      <c r="B94" s="114"/>
      <c r="C94" s="113"/>
      <c r="D94" s="174" t="s">
        <v>186</v>
      </c>
      <c r="E94" s="174"/>
      <c r="F94" s="178"/>
      <c r="G94" s="177" t="s">
        <v>190</v>
      </c>
      <c r="H94" s="175"/>
      <c r="I94" s="175"/>
      <c r="J94" s="175"/>
      <c r="K94" s="73"/>
      <c r="L94" s="73"/>
      <c r="M94" s="73"/>
    </row>
    <row r="95" spans="6:10" ht="6.75" customHeight="1" thickBot="1">
      <c r="F95" s="111"/>
      <c r="G95" s="111"/>
      <c r="H95" s="176"/>
      <c r="I95" s="176"/>
      <c r="J95" s="176"/>
    </row>
    <row r="96" spans="6:10" ht="16.5" customHeight="1" thickBot="1">
      <c r="F96" s="189"/>
      <c r="G96" s="177" t="s">
        <v>187</v>
      </c>
      <c r="H96" s="176"/>
      <c r="I96" s="176"/>
      <c r="J96" s="176"/>
    </row>
    <row r="97" spans="6:10" ht="6.75" customHeight="1" thickBot="1">
      <c r="F97" s="111"/>
      <c r="G97" s="111"/>
      <c r="H97" s="176"/>
      <c r="I97" s="176"/>
      <c r="J97" s="176"/>
    </row>
    <row r="98" spans="6:10" ht="16.5" customHeight="1" thickBot="1">
      <c r="F98" s="188"/>
      <c r="G98" s="177" t="s">
        <v>189</v>
      </c>
      <c r="H98" s="176"/>
      <c r="I98" s="176"/>
      <c r="J98" s="176"/>
    </row>
    <row r="99" spans="6:10" ht="6.75" customHeight="1" thickBot="1">
      <c r="F99" s="111"/>
      <c r="G99" s="111"/>
      <c r="H99" s="176"/>
      <c r="I99" s="176"/>
      <c r="J99" s="176"/>
    </row>
    <row r="100" spans="6:10" ht="16.5" customHeight="1" thickBot="1">
      <c r="F100" s="187"/>
      <c r="G100" s="177" t="s">
        <v>188</v>
      </c>
      <c r="H100" s="176"/>
      <c r="I100" s="176"/>
      <c r="J100" s="176"/>
    </row>
  </sheetData>
  <sheetProtection/>
  <mergeCells count="29">
    <mergeCell ref="BE27:BG27"/>
    <mergeCell ref="BD35:BH35"/>
    <mergeCell ref="AY36:BA36"/>
    <mergeCell ref="BD36:BH36"/>
    <mergeCell ref="BD7:BD8"/>
    <mergeCell ref="BE7:BE8"/>
    <mergeCell ref="AZ1:BF1"/>
    <mergeCell ref="BG1:BI1"/>
    <mergeCell ref="AZ2:BF2"/>
    <mergeCell ref="AZ3:BF3"/>
    <mergeCell ref="AZ4:BF4"/>
    <mergeCell ref="AX6:AX8"/>
    <mergeCell ref="BD6:BE6"/>
    <mergeCell ref="BI6:BI8"/>
    <mergeCell ref="A3:L3"/>
    <mergeCell ref="A5:L5"/>
    <mergeCell ref="A7:A9"/>
    <mergeCell ref="H7:I7"/>
    <mergeCell ref="D7:D9"/>
    <mergeCell ref="B7:C9"/>
    <mergeCell ref="A4:L4"/>
    <mergeCell ref="L8:L9"/>
    <mergeCell ref="G43:K43"/>
    <mergeCell ref="B42:D42"/>
    <mergeCell ref="B55:D55"/>
    <mergeCell ref="B11:D11"/>
    <mergeCell ref="B71:D71"/>
    <mergeCell ref="B43:D43"/>
    <mergeCell ref="B56:D56"/>
  </mergeCells>
  <printOptions horizontalCentered="1" verticalCentered="1"/>
  <pageMargins left="0.7" right="0.7" top="0.15" bottom="0.5" header="0.3" footer="0.3"/>
  <pageSetup horizontalDpi="600" verticalDpi="600" orientation="portrait" scale="4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19">
      <selection activeCell="G25" sqref="G25"/>
    </sheetView>
  </sheetViews>
  <sheetFormatPr defaultColWidth="9.140625" defaultRowHeight="12.75"/>
  <cols>
    <col min="4" max="4" width="20.7109375" style="0" customWidth="1"/>
    <col min="5" max="5" width="13.00390625" style="0" customWidth="1"/>
    <col min="6" max="6" width="12.8515625" style="0" customWidth="1"/>
    <col min="7" max="7" width="12.421875" style="0" customWidth="1"/>
    <col min="8" max="8" width="11.140625" style="0" customWidth="1"/>
    <col min="9" max="9" width="12.7109375" style="0" customWidth="1"/>
    <col min="10" max="10" width="11.8515625" style="0" customWidth="1"/>
    <col min="11" max="11" width="10.00390625" style="0" customWidth="1"/>
    <col min="12" max="12" width="13.140625" style="0" customWidth="1"/>
    <col min="13" max="13" width="18.00390625" style="0" customWidth="1"/>
    <col min="14" max="14" width="14.421875" style="0" customWidth="1"/>
    <col min="15" max="15" width="18.00390625" style="0" customWidth="1"/>
    <col min="16" max="16" width="21.8515625" style="0" customWidth="1"/>
    <col min="17" max="17" width="22.57421875" style="0" customWidth="1"/>
    <col min="18" max="18" width="18.00390625" style="0" customWidth="1"/>
    <col min="19" max="19" width="14.140625" style="0" customWidth="1"/>
  </cols>
  <sheetData>
    <row r="1" spans="1:13" ht="24.75">
      <c r="A1" s="497" t="s">
        <v>71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166"/>
      <c r="M1" s="27"/>
    </row>
    <row r="2" spans="1:13" ht="24.75">
      <c r="A2" s="497" t="s">
        <v>144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166"/>
      <c r="M2" s="27"/>
    </row>
    <row r="3" spans="1:13" ht="21.75">
      <c r="A3" s="498" t="s">
        <v>196</v>
      </c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51"/>
      <c r="M3" s="154"/>
    </row>
    <row r="4" spans="1:13" ht="15.75" thickBot="1">
      <c r="A4" s="1" t="s">
        <v>72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7"/>
    </row>
    <row r="5" spans="1:13" ht="17.25" thickBot="1" thickTop="1">
      <c r="A5" s="520" t="s">
        <v>0</v>
      </c>
      <c r="B5" s="530" t="s">
        <v>95</v>
      </c>
      <c r="C5" s="531"/>
      <c r="D5" s="522" t="s">
        <v>4</v>
      </c>
      <c r="E5" s="144" t="s">
        <v>51</v>
      </c>
      <c r="F5" s="146" t="s">
        <v>57</v>
      </c>
      <c r="G5" s="524" t="s">
        <v>54</v>
      </c>
      <c r="H5" s="525"/>
      <c r="I5" s="150" t="s">
        <v>57</v>
      </c>
      <c r="J5" s="152" t="s">
        <v>57</v>
      </c>
      <c r="K5" s="155" t="s">
        <v>60</v>
      </c>
      <c r="L5" s="193"/>
      <c r="M5" s="86"/>
    </row>
    <row r="6" spans="1:13" ht="15.75">
      <c r="A6" s="521"/>
      <c r="B6" s="532"/>
      <c r="C6" s="533"/>
      <c r="D6" s="523"/>
      <c r="E6" s="145" t="s">
        <v>52</v>
      </c>
      <c r="F6" s="147" t="s">
        <v>62</v>
      </c>
      <c r="G6" s="148" t="s">
        <v>55</v>
      </c>
      <c r="H6" s="149" t="s">
        <v>56</v>
      </c>
      <c r="I6" s="151" t="s">
        <v>58</v>
      </c>
      <c r="J6" s="153" t="s">
        <v>59</v>
      </c>
      <c r="K6" s="536" t="s">
        <v>61</v>
      </c>
      <c r="L6" s="242"/>
      <c r="M6" s="86"/>
    </row>
    <row r="7" spans="1:13" ht="19.5" thickBot="1">
      <c r="A7" s="521"/>
      <c r="B7" s="534"/>
      <c r="C7" s="535"/>
      <c r="D7" s="523"/>
      <c r="E7" s="145" t="s">
        <v>53</v>
      </c>
      <c r="F7" s="158" t="s">
        <v>98</v>
      </c>
      <c r="G7" s="159" t="s">
        <v>98</v>
      </c>
      <c r="H7" s="160" t="s">
        <v>98</v>
      </c>
      <c r="I7" s="156" t="s">
        <v>98</v>
      </c>
      <c r="J7" s="157" t="s">
        <v>98</v>
      </c>
      <c r="K7" s="537"/>
      <c r="L7" s="243"/>
      <c r="M7" s="27"/>
    </row>
    <row r="8" spans="1:13" ht="16.5" thickBot="1">
      <c r="A8" s="161">
        <v>1</v>
      </c>
      <c r="B8" s="162">
        <v>2</v>
      </c>
      <c r="C8" s="163"/>
      <c r="D8" s="164">
        <v>3</v>
      </c>
      <c r="E8" s="164">
        <v>4</v>
      </c>
      <c r="F8" s="164">
        <v>5</v>
      </c>
      <c r="G8" s="164">
        <v>6</v>
      </c>
      <c r="H8" s="164">
        <v>7</v>
      </c>
      <c r="I8" s="164" t="s">
        <v>64</v>
      </c>
      <c r="J8" s="164">
        <v>9</v>
      </c>
      <c r="K8" s="165">
        <v>10</v>
      </c>
      <c r="L8" s="244"/>
      <c r="M8" s="27"/>
    </row>
    <row r="9" spans="1:18" ht="17.25" thickBot="1" thickTop="1">
      <c r="A9" s="26" t="s">
        <v>73</v>
      </c>
      <c r="B9" s="554" t="s">
        <v>74</v>
      </c>
      <c r="C9" s="542"/>
      <c r="D9" s="542"/>
      <c r="E9" s="20"/>
      <c r="F9" s="20"/>
      <c r="G9" s="20"/>
      <c r="H9" s="20"/>
      <c r="I9" s="20"/>
      <c r="J9" s="20"/>
      <c r="K9" s="29"/>
      <c r="L9" s="167"/>
      <c r="M9" s="241" t="s">
        <v>197</v>
      </c>
      <c r="N9" s="249" t="s">
        <v>198</v>
      </c>
      <c r="O9" s="249" t="s">
        <v>199</v>
      </c>
      <c r="P9" s="249" t="s">
        <v>200</v>
      </c>
      <c r="Q9" s="249" t="s">
        <v>201</v>
      </c>
      <c r="R9" s="249"/>
    </row>
    <row r="10" spans="1:18" ht="16.5" thickTop="1">
      <c r="A10" s="37">
        <v>1</v>
      </c>
      <c r="B10" s="4" t="s">
        <v>3</v>
      </c>
      <c r="C10" s="52">
        <v>1</v>
      </c>
      <c r="D10" s="11" t="s">
        <v>6</v>
      </c>
      <c r="E10" s="22">
        <v>26952</v>
      </c>
      <c r="F10" s="53">
        <v>110.363</v>
      </c>
      <c r="G10" s="69">
        <v>24.947</v>
      </c>
      <c r="H10" s="69" t="s">
        <v>70</v>
      </c>
      <c r="I10" s="70">
        <f aca="true" t="shared" si="0" ref="I10:I17">+H10+G10+F10</f>
        <v>135.31</v>
      </c>
      <c r="J10" s="12">
        <v>24.947</v>
      </c>
      <c r="K10" s="246">
        <v>1</v>
      </c>
      <c r="L10" s="168"/>
      <c r="M10" s="255">
        <f>+E10</f>
        <v>26952</v>
      </c>
      <c r="N10" s="253">
        <f>+M10*1</f>
        <v>26952</v>
      </c>
      <c r="O10" s="252">
        <f>60*60*24</f>
        <v>86400</v>
      </c>
      <c r="P10" s="252">
        <f>+O10*N10</f>
        <v>2328652800</v>
      </c>
      <c r="Q10" s="252">
        <f>+P10/1000</f>
        <v>2328652.8</v>
      </c>
      <c r="R10" s="252"/>
    </row>
    <row r="11" spans="1:18" ht="15.75">
      <c r="A11" s="30"/>
      <c r="B11" s="4"/>
      <c r="C11" s="52">
        <f>+C10+1</f>
        <v>2</v>
      </c>
      <c r="D11" s="5" t="s">
        <v>5</v>
      </c>
      <c r="E11" s="14">
        <v>727</v>
      </c>
      <c r="F11" s="94">
        <v>0.108</v>
      </c>
      <c r="G11" s="53" t="s">
        <v>70</v>
      </c>
      <c r="H11" s="95">
        <v>1.059</v>
      </c>
      <c r="I11" s="95">
        <f>+H11+G11+F11</f>
        <v>1.167</v>
      </c>
      <c r="J11" s="95">
        <v>1.087</v>
      </c>
      <c r="K11" s="246">
        <v>1</v>
      </c>
      <c r="L11" s="168"/>
      <c r="M11" s="43">
        <f aca="true" t="shared" si="1" ref="M11:M20">+E11</f>
        <v>727</v>
      </c>
      <c r="N11" s="253">
        <f aca="true" t="shared" si="2" ref="N11:N20">1*3600</f>
        <v>3600</v>
      </c>
      <c r="O11" s="250"/>
      <c r="P11" s="250"/>
      <c r="Q11" s="250"/>
      <c r="R11" s="250"/>
    </row>
    <row r="12" spans="1:18" ht="15.75">
      <c r="A12" s="30">
        <v>2</v>
      </c>
      <c r="B12" s="7" t="s">
        <v>7</v>
      </c>
      <c r="C12" s="52">
        <f aca="true" t="shared" si="3" ref="C12:C20">+C11+1</f>
        <v>3</v>
      </c>
      <c r="D12" s="5" t="s">
        <v>65</v>
      </c>
      <c r="E12" s="14">
        <v>7642</v>
      </c>
      <c r="F12" s="77">
        <v>5.332</v>
      </c>
      <c r="G12" s="77">
        <v>7.527</v>
      </c>
      <c r="H12" s="77">
        <v>1.264</v>
      </c>
      <c r="I12" s="47">
        <f t="shared" si="0"/>
        <v>14.123000000000001</v>
      </c>
      <c r="J12" s="77">
        <v>8.791</v>
      </c>
      <c r="K12" s="246">
        <v>1</v>
      </c>
      <c r="L12" s="168"/>
      <c r="M12" s="43">
        <f t="shared" si="1"/>
        <v>7642</v>
      </c>
      <c r="N12" s="253">
        <f t="shared" si="2"/>
        <v>3600</v>
      </c>
      <c r="O12" s="250"/>
      <c r="P12" s="250"/>
      <c r="Q12" s="250"/>
      <c r="R12" s="250"/>
    </row>
    <row r="13" spans="1:18" ht="15.75">
      <c r="A13" s="30"/>
      <c r="B13" s="7"/>
      <c r="C13" s="52">
        <f t="shared" si="3"/>
        <v>4</v>
      </c>
      <c r="D13" s="5" t="s">
        <v>69</v>
      </c>
      <c r="E13" s="14">
        <v>415</v>
      </c>
      <c r="F13" s="47">
        <v>11.242</v>
      </c>
      <c r="G13" s="69">
        <v>0.624</v>
      </c>
      <c r="H13" s="69">
        <v>1.841</v>
      </c>
      <c r="I13" s="12">
        <f>+H13+G13+F13</f>
        <v>13.707</v>
      </c>
      <c r="J13" s="69">
        <v>0.624</v>
      </c>
      <c r="K13" s="247">
        <v>1</v>
      </c>
      <c r="L13" s="168"/>
      <c r="M13" s="43">
        <f t="shared" si="1"/>
        <v>415</v>
      </c>
      <c r="N13" s="253">
        <f t="shared" si="2"/>
        <v>3600</v>
      </c>
      <c r="O13" s="250"/>
      <c r="P13" s="250"/>
      <c r="Q13" s="250"/>
      <c r="R13" s="250"/>
    </row>
    <row r="14" spans="1:18" ht="15">
      <c r="A14" s="30">
        <v>3</v>
      </c>
      <c r="B14" s="7" t="s">
        <v>8</v>
      </c>
      <c r="C14" s="52">
        <f t="shared" si="3"/>
        <v>5</v>
      </c>
      <c r="D14" s="5" t="s">
        <v>66</v>
      </c>
      <c r="E14" s="14">
        <v>3517</v>
      </c>
      <c r="F14" s="77">
        <v>216.76</v>
      </c>
      <c r="G14" s="77" t="s">
        <v>70</v>
      </c>
      <c r="H14" s="77">
        <v>1.353</v>
      </c>
      <c r="I14" s="6">
        <f t="shared" si="0"/>
        <v>218.113</v>
      </c>
      <c r="J14" s="77">
        <v>3.98</v>
      </c>
      <c r="K14" s="247">
        <v>1</v>
      </c>
      <c r="L14" s="245" t="s">
        <v>195</v>
      </c>
      <c r="M14" s="43">
        <f t="shared" si="1"/>
        <v>3517</v>
      </c>
      <c r="N14" s="253">
        <f t="shared" si="2"/>
        <v>3600</v>
      </c>
      <c r="O14" s="250"/>
      <c r="P14" s="250"/>
      <c r="Q14" s="250"/>
      <c r="R14" s="250"/>
    </row>
    <row r="15" spans="1:18" ht="15">
      <c r="A15" s="30"/>
      <c r="B15" s="9"/>
      <c r="C15" s="52">
        <f t="shared" si="3"/>
        <v>6</v>
      </c>
      <c r="D15" s="5" t="s">
        <v>68</v>
      </c>
      <c r="E15" s="14">
        <v>500</v>
      </c>
      <c r="F15" s="47">
        <v>121.754</v>
      </c>
      <c r="G15" s="53" t="s">
        <v>70</v>
      </c>
      <c r="H15" s="53" t="s">
        <v>70</v>
      </c>
      <c r="I15" s="6">
        <f t="shared" si="0"/>
        <v>121.754</v>
      </c>
      <c r="J15" s="53">
        <v>0.446</v>
      </c>
      <c r="K15" s="247">
        <v>1</v>
      </c>
      <c r="L15" s="245" t="s">
        <v>195</v>
      </c>
      <c r="M15" s="43">
        <f t="shared" si="1"/>
        <v>500</v>
      </c>
      <c r="N15" s="253">
        <f t="shared" si="2"/>
        <v>3600</v>
      </c>
      <c r="O15" s="250"/>
      <c r="P15" s="250"/>
      <c r="Q15" s="250"/>
      <c r="R15" s="250"/>
    </row>
    <row r="16" spans="1:18" ht="15">
      <c r="A16" s="28"/>
      <c r="B16" s="5"/>
      <c r="C16" s="52">
        <f t="shared" si="3"/>
        <v>7</v>
      </c>
      <c r="D16" s="5" t="s">
        <v>85</v>
      </c>
      <c r="E16" s="14">
        <v>1176</v>
      </c>
      <c r="F16" s="77">
        <v>106.409</v>
      </c>
      <c r="G16" s="69" t="s">
        <v>70</v>
      </c>
      <c r="H16" s="69" t="s">
        <v>70</v>
      </c>
      <c r="I16" s="12">
        <f t="shared" si="0"/>
        <v>106.409</v>
      </c>
      <c r="J16" s="69">
        <v>1.046</v>
      </c>
      <c r="K16" s="247">
        <v>1</v>
      </c>
      <c r="L16" s="245" t="s">
        <v>195</v>
      </c>
      <c r="M16" s="43">
        <f t="shared" si="1"/>
        <v>1176</v>
      </c>
      <c r="N16" s="253">
        <f t="shared" si="2"/>
        <v>3600</v>
      </c>
      <c r="O16" s="250"/>
      <c r="P16" s="250"/>
      <c r="Q16" s="250"/>
      <c r="R16" s="250"/>
    </row>
    <row r="17" spans="1:18" ht="15">
      <c r="A17" s="28"/>
      <c r="B17" s="9"/>
      <c r="C17" s="52">
        <f t="shared" si="3"/>
        <v>8</v>
      </c>
      <c r="D17" s="10" t="s">
        <v>174</v>
      </c>
      <c r="E17" s="13">
        <v>1.521</v>
      </c>
      <c r="F17" s="77">
        <v>1.945</v>
      </c>
      <c r="G17" s="69" t="s">
        <v>70</v>
      </c>
      <c r="H17" s="69">
        <v>1.332</v>
      </c>
      <c r="I17" s="12">
        <f t="shared" si="0"/>
        <v>3.277</v>
      </c>
      <c r="J17" s="69">
        <v>1.665</v>
      </c>
      <c r="K17" s="247">
        <v>1</v>
      </c>
      <c r="L17" s="245" t="s">
        <v>195</v>
      </c>
      <c r="M17" s="43">
        <f t="shared" si="1"/>
        <v>1.521</v>
      </c>
      <c r="N17" s="253">
        <f t="shared" si="2"/>
        <v>3600</v>
      </c>
      <c r="O17" s="250"/>
      <c r="P17" s="250"/>
      <c r="Q17" s="250"/>
      <c r="R17" s="250"/>
    </row>
    <row r="18" spans="1:18" ht="15">
      <c r="A18" s="28"/>
      <c r="B18" s="9"/>
      <c r="C18" s="52">
        <f t="shared" si="3"/>
        <v>9</v>
      </c>
      <c r="D18" s="10" t="s">
        <v>175</v>
      </c>
      <c r="E18" s="13">
        <v>2.388</v>
      </c>
      <c r="F18" s="77">
        <v>54.681</v>
      </c>
      <c r="G18" s="69" t="s">
        <v>70</v>
      </c>
      <c r="H18" s="69">
        <v>1.945</v>
      </c>
      <c r="I18" s="12">
        <f>+H18+G18+F18</f>
        <v>56.626</v>
      </c>
      <c r="J18" s="69">
        <v>2.48</v>
      </c>
      <c r="K18" s="247">
        <v>1</v>
      </c>
      <c r="L18" s="245" t="s">
        <v>195</v>
      </c>
      <c r="M18" s="43">
        <f t="shared" si="1"/>
        <v>2.388</v>
      </c>
      <c r="N18" s="253">
        <f t="shared" si="2"/>
        <v>3600</v>
      </c>
      <c r="O18" s="250"/>
      <c r="P18" s="250"/>
      <c r="Q18" s="250"/>
      <c r="R18" s="250"/>
    </row>
    <row r="19" spans="1:18" ht="15">
      <c r="A19" s="28"/>
      <c r="B19" s="9"/>
      <c r="C19" s="52">
        <f t="shared" si="3"/>
        <v>10</v>
      </c>
      <c r="D19" s="10" t="s">
        <v>86</v>
      </c>
      <c r="E19" s="15">
        <v>1330</v>
      </c>
      <c r="F19" s="53">
        <v>44.452</v>
      </c>
      <c r="G19" s="53">
        <v>1.877</v>
      </c>
      <c r="H19" s="53" t="s">
        <v>70</v>
      </c>
      <c r="I19" s="6">
        <f>+H19+G19+F19</f>
        <v>46.329</v>
      </c>
      <c r="J19" s="53">
        <v>1.887</v>
      </c>
      <c r="K19" s="248">
        <v>1</v>
      </c>
      <c r="L19" s="245"/>
      <c r="M19" s="43">
        <f t="shared" si="1"/>
        <v>1330</v>
      </c>
      <c r="N19" s="253">
        <f t="shared" si="2"/>
        <v>3600</v>
      </c>
      <c r="O19" s="250"/>
      <c r="P19" s="250"/>
      <c r="Q19" s="250"/>
      <c r="R19" s="250"/>
    </row>
    <row r="20" spans="1:18" ht="15.75" thickBot="1">
      <c r="A20" s="28">
        <v>4</v>
      </c>
      <c r="B20" s="9" t="s">
        <v>9</v>
      </c>
      <c r="C20" s="52">
        <f t="shared" si="3"/>
        <v>11</v>
      </c>
      <c r="D20" s="10" t="s">
        <v>67</v>
      </c>
      <c r="E20" s="15">
        <v>3040</v>
      </c>
      <c r="F20" s="71">
        <v>40.88</v>
      </c>
      <c r="G20" s="69" t="s">
        <v>70</v>
      </c>
      <c r="H20" s="69" t="s">
        <v>70</v>
      </c>
      <c r="I20" s="70">
        <f>+H20+G20+F20</f>
        <v>40.88</v>
      </c>
      <c r="J20" s="231">
        <v>3.47</v>
      </c>
      <c r="K20" s="247">
        <v>1</v>
      </c>
      <c r="L20" s="245" t="s">
        <v>195</v>
      </c>
      <c r="M20" s="43">
        <f t="shared" si="1"/>
        <v>3040</v>
      </c>
      <c r="N20" s="253">
        <f t="shared" si="2"/>
        <v>3600</v>
      </c>
      <c r="O20" s="250"/>
      <c r="P20" s="250"/>
      <c r="Q20" s="250"/>
      <c r="R20" s="250"/>
    </row>
    <row r="21" spans="1:18" ht="18.75" thickBot="1">
      <c r="A21" s="60"/>
      <c r="B21" s="566" t="s">
        <v>133</v>
      </c>
      <c r="C21" s="567"/>
      <c r="D21" s="568"/>
      <c r="E21" s="62">
        <f aca="true" t="shared" si="4" ref="E21:J21">SUM(E10:E20)</f>
        <v>45302.909</v>
      </c>
      <c r="F21" s="61">
        <f t="shared" si="4"/>
        <v>713.9260000000002</v>
      </c>
      <c r="G21" s="61">
        <f t="shared" si="4"/>
        <v>34.975</v>
      </c>
      <c r="H21" s="61">
        <f t="shared" si="4"/>
        <v>8.793999999999999</v>
      </c>
      <c r="I21" s="61">
        <f t="shared" si="4"/>
        <v>757.6949999999999</v>
      </c>
      <c r="J21" s="61">
        <f t="shared" si="4"/>
        <v>50.422999999999995</v>
      </c>
      <c r="K21" s="185">
        <v>1</v>
      </c>
      <c r="L21" s="169"/>
      <c r="M21" s="254">
        <f>SUM(M10:M20)</f>
        <v>45302.909</v>
      </c>
      <c r="N21" s="81"/>
      <c r="O21" s="251"/>
      <c r="P21" s="251"/>
      <c r="Q21" s="251"/>
      <c r="R21" s="251"/>
    </row>
    <row r="22" spans="1:18" ht="24" thickBot="1" thickTop="1">
      <c r="A22" s="31" t="s">
        <v>75</v>
      </c>
      <c r="B22" s="571" t="s">
        <v>76</v>
      </c>
      <c r="C22" s="572"/>
      <c r="D22" s="572"/>
      <c r="E22" s="74"/>
      <c r="F22" s="587"/>
      <c r="G22" s="588"/>
      <c r="H22" s="588"/>
      <c r="I22" s="588"/>
      <c r="J22" s="588"/>
      <c r="K22" s="67"/>
      <c r="L22" s="169"/>
      <c r="M22" s="27"/>
      <c r="N22" s="81"/>
      <c r="O22" s="81"/>
      <c r="P22" s="81"/>
      <c r="Q22" s="81"/>
      <c r="R22" s="81"/>
    </row>
    <row r="23" spans="1:18" ht="18.75" thickTop="1">
      <c r="A23" s="38">
        <v>1</v>
      </c>
      <c r="B23" s="23" t="s">
        <v>9</v>
      </c>
      <c r="C23" s="16">
        <v>1</v>
      </c>
      <c r="D23" s="23" t="s">
        <v>87</v>
      </c>
      <c r="E23" s="24">
        <v>4353</v>
      </c>
      <c r="F23" s="53">
        <v>61.136</v>
      </c>
      <c r="G23" s="53">
        <v>2.944</v>
      </c>
      <c r="H23" s="53">
        <v>2.283</v>
      </c>
      <c r="I23" s="53">
        <f aca="true" t="shared" si="5" ref="I23:I34">+H23+G23+F23</f>
        <v>66.363</v>
      </c>
      <c r="J23" s="53">
        <v>5.227</v>
      </c>
      <c r="K23" s="232">
        <v>1</v>
      </c>
      <c r="L23" s="104"/>
      <c r="M23" s="88">
        <f>SUM(K23:K34)/18</f>
        <v>0.6111111111111112</v>
      </c>
      <c r="N23" s="81"/>
      <c r="O23" s="81"/>
      <c r="P23" s="81"/>
      <c r="Q23" s="81"/>
      <c r="R23" s="81"/>
    </row>
    <row r="24" spans="1:18" ht="18">
      <c r="A24" s="30">
        <f>+A23+1</f>
        <v>2</v>
      </c>
      <c r="B24" s="5" t="s">
        <v>10</v>
      </c>
      <c r="C24" s="8">
        <f>+C23+1</f>
        <v>2</v>
      </c>
      <c r="D24" s="5" t="s">
        <v>11</v>
      </c>
      <c r="E24" s="14">
        <v>8861</v>
      </c>
      <c r="F24" s="53">
        <v>40.663</v>
      </c>
      <c r="G24" s="53">
        <v>2.991</v>
      </c>
      <c r="H24" s="53">
        <v>4.762</v>
      </c>
      <c r="I24" s="53">
        <f t="shared" si="5"/>
        <v>48.416</v>
      </c>
      <c r="J24" s="53">
        <v>7.753</v>
      </c>
      <c r="K24" s="233">
        <v>1</v>
      </c>
      <c r="L24" s="104"/>
      <c r="M24" s="122"/>
      <c r="N24" s="81"/>
      <c r="O24" s="81"/>
      <c r="P24" s="81"/>
      <c r="Q24" s="81"/>
      <c r="R24" s="81"/>
    </row>
    <row r="25" spans="1:18" ht="18">
      <c r="A25" s="30"/>
      <c r="B25" s="5"/>
      <c r="C25" s="8">
        <f aca="true" t="shared" si="6" ref="C25:C34">+C24+1</f>
        <v>3</v>
      </c>
      <c r="D25" s="5" t="s">
        <v>88</v>
      </c>
      <c r="E25" s="14">
        <v>1108</v>
      </c>
      <c r="F25" s="53">
        <v>8.888</v>
      </c>
      <c r="G25" s="53">
        <v>0.789</v>
      </c>
      <c r="H25" s="53">
        <v>1.502</v>
      </c>
      <c r="I25" s="53">
        <f t="shared" si="5"/>
        <v>11.179</v>
      </c>
      <c r="J25" s="53">
        <v>2.291</v>
      </c>
      <c r="K25" s="233">
        <v>1</v>
      </c>
      <c r="L25" s="104"/>
      <c r="M25" s="27"/>
      <c r="N25" s="81"/>
      <c r="O25" s="81"/>
      <c r="P25" s="81"/>
      <c r="Q25" s="81"/>
      <c r="R25" s="81"/>
    </row>
    <row r="26" spans="1:18" ht="18">
      <c r="A26" s="30"/>
      <c r="B26" s="5"/>
      <c r="C26" s="8">
        <f t="shared" si="6"/>
        <v>4</v>
      </c>
      <c r="D26" s="5" t="s">
        <v>89</v>
      </c>
      <c r="E26" s="14">
        <v>2577</v>
      </c>
      <c r="F26" s="53">
        <v>8.305</v>
      </c>
      <c r="G26" s="53">
        <v>2.612</v>
      </c>
      <c r="H26" s="53">
        <v>0.217</v>
      </c>
      <c r="I26" s="53">
        <f t="shared" si="5"/>
        <v>11.134</v>
      </c>
      <c r="J26" s="53">
        <v>2.91</v>
      </c>
      <c r="K26" s="233">
        <v>1</v>
      </c>
      <c r="L26" s="104"/>
      <c r="M26" s="27"/>
      <c r="N26" s="81"/>
      <c r="O26" s="81"/>
      <c r="P26" s="81"/>
      <c r="Q26" s="81"/>
      <c r="R26" s="81"/>
    </row>
    <row r="27" spans="1:18" ht="18">
      <c r="A27" s="30">
        <v>3</v>
      </c>
      <c r="B27" s="5" t="s">
        <v>90</v>
      </c>
      <c r="C27" s="8">
        <f t="shared" si="6"/>
        <v>5</v>
      </c>
      <c r="D27" s="5" t="s">
        <v>147</v>
      </c>
      <c r="E27" s="14">
        <v>464</v>
      </c>
      <c r="F27" s="53">
        <v>4.158</v>
      </c>
      <c r="G27" s="53" t="s">
        <v>70</v>
      </c>
      <c r="H27" s="6">
        <v>0.422</v>
      </c>
      <c r="I27" s="6">
        <f t="shared" si="5"/>
        <v>4.58</v>
      </c>
      <c r="J27" s="6">
        <v>0.422</v>
      </c>
      <c r="K27" s="233">
        <v>1</v>
      </c>
      <c r="L27" s="169"/>
      <c r="M27" s="27"/>
      <c r="N27" s="81"/>
      <c r="O27" s="81"/>
      <c r="P27" s="81"/>
      <c r="Q27" s="81"/>
      <c r="R27" s="81"/>
    </row>
    <row r="28" spans="1:18" ht="18">
      <c r="A28" s="30"/>
      <c r="B28" s="5"/>
      <c r="C28" s="8">
        <f t="shared" si="6"/>
        <v>6</v>
      </c>
      <c r="D28" s="5" t="s">
        <v>91</v>
      </c>
      <c r="E28" s="14">
        <v>1325</v>
      </c>
      <c r="F28" s="53">
        <v>4</v>
      </c>
      <c r="G28" s="53">
        <v>0.997</v>
      </c>
      <c r="H28" s="53">
        <v>0.216</v>
      </c>
      <c r="I28" s="53">
        <f>+H28+G28+F28</f>
        <v>5.213</v>
      </c>
      <c r="J28" s="53">
        <v>1.208</v>
      </c>
      <c r="K28" s="234">
        <v>1</v>
      </c>
      <c r="L28" s="104"/>
      <c r="M28" s="27"/>
      <c r="N28" s="81"/>
      <c r="O28" s="81"/>
      <c r="P28" s="81"/>
      <c r="Q28" s="81"/>
      <c r="R28" s="81"/>
    </row>
    <row r="29" spans="1:18" ht="18">
      <c r="A29" s="30">
        <f>+A27+1</f>
        <v>4</v>
      </c>
      <c r="B29" s="5" t="s">
        <v>18</v>
      </c>
      <c r="C29" s="8">
        <f t="shared" si="6"/>
        <v>7</v>
      </c>
      <c r="D29" s="5" t="s">
        <v>92</v>
      </c>
      <c r="E29" s="14">
        <v>4053</v>
      </c>
      <c r="F29" s="53">
        <v>8.543</v>
      </c>
      <c r="G29" s="53" t="s">
        <v>70</v>
      </c>
      <c r="H29" s="53">
        <v>2.167</v>
      </c>
      <c r="I29" s="53">
        <f>+H29+G29+F29</f>
        <v>10.709999999999999</v>
      </c>
      <c r="J29" s="53">
        <v>2.5</v>
      </c>
      <c r="K29" s="234">
        <v>1</v>
      </c>
      <c r="L29" s="170"/>
      <c r="M29" s="27"/>
      <c r="N29" s="81"/>
      <c r="O29" s="81"/>
      <c r="P29" s="81"/>
      <c r="Q29" s="81"/>
      <c r="R29" s="81"/>
    </row>
    <row r="30" spans="1:18" ht="18">
      <c r="A30" s="30"/>
      <c r="B30" s="5"/>
      <c r="C30" s="8">
        <f t="shared" si="6"/>
        <v>8</v>
      </c>
      <c r="D30" s="5" t="s">
        <v>93</v>
      </c>
      <c r="E30" s="14">
        <v>18740</v>
      </c>
      <c r="F30" s="53">
        <v>35.477</v>
      </c>
      <c r="G30" s="6">
        <v>6.06</v>
      </c>
      <c r="H30" s="6">
        <v>5.812</v>
      </c>
      <c r="I30" s="6">
        <f t="shared" si="5"/>
        <v>47.349</v>
      </c>
      <c r="J30" s="6">
        <v>12.503</v>
      </c>
      <c r="K30" s="234">
        <v>1</v>
      </c>
      <c r="L30" s="169"/>
      <c r="M30" s="27"/>
      <c r="N30" s="81"/>
      <c r="O30" s="81"/>
      <c r="P30" s="81"/>
      <c r="Q30" s="81"/>
      <c r="R30" s="81"/>
    </row>
    <row r="31" spans="1:18" ht="18">
      <c r="A31" s="30">
        <f>+A29+1</f>
        <v>5</v>
      </c>
      <c r="B31" s="5" t="s">
        <v>12</v>
      </c>
      <c r="C31" s="8">
        <f t="shared" si="6"/>
        <v>9</v>
      </c>
      <c r="D31" s="5" t="s">
        <v>148</v>
      </c>
      <c r="E31" s="14">
        <v>2342</v>
      </c>
      <c r="F31" s="53" t="s">
        <v>70</v>
      </c>
      <c r="G31" s="6">
        <v>0.409</v>
      </c>
      <c r="H31" s="53" t="s">
        <v>70</v>
      </c>
      <c r="I31" s="6">
        <f t="shared" si="5"/>
        <v>0.409</v>
      </c>
      <c r="J31" s="6">
        <v>0.409</v>
      </c>
      <c r="K31" s="235">
        <v>1</v>
      </c>
      <c r="L31" s="169"/>
      <c r="M31" s="27"/>
      <c r="N31" s="81"/>
      <c r="O31" s="81"/>
      <c r="P31" s="81"/>
      <c r="Q31" s="81"/>
      <c r="R31" s="81"/>
    </row>
    <row r="32" spans="1:18" ht="18">
      <c r="A32" s="30"/>
      <c r="B32" s="5"/>
      <c r="C32" s="8">
        <f t="shared" si="6"/>
        <v>10</v>
      </c>
      <c r="D32" s="5" t="s">
        <v>157</v>
      </c>
      <c r="E32" s="6">
        <v>1.06</v>
      </c>
      <c r="F32" s="53" t="s">
        <v>70</v>
      </c>
      <c r="G32" s="53">
        <v>0.27</v>
      </c>
      <c r="H32" s="53" t="s">
        <v>70</v>
      </c>
      <c r="I32" s="6">
        <f t="shared" si="5"/>
        <v>0.27</v>
      </c>
      <c r="J32" s="53">
        <v>0.248</v>
      </c>
      <c r="K32" s="235">
        <v>1</v>
      </c>
      <c r="L32" s="104"/>
      <c r="M32" s="27"/>
      <c r="N32" s="81"/>
      <c r="O32" s="81"/>
      <c r="P32" s="81"/>
      <c r="Q32" s="81"/>
      <c r="R32" s="81"/>
    </row>
    <row r="33" spans="1:18" ht="15">
      <c r="A33" s="30">
        <f>+A31+1</f>
        <v>6</v>
      </c>
      <c r="B33" s="5" t="s">
        <v>14</v>
      </c>
      <c r="C33" s="8">
        <f t="shared" si="6"/>
        <v>11</v>
      </c>
      <c r="D33" s="5" t="s">
        <v>94</v>
      </c>
      <c r="E33" s="14">
        <v>1342</v>
      </c>
      <c r="F33" s="53" t="s">
        <v>70</v>
      </c>
      <c r="G33" s="53" t="s">
        <v>70</v>
      </c>
      <c r="H33" s="53" t="s">
        <v>70</v>
      </c>
      <c r="I33" s="53" t="s">
        <v>70</v>
      </c>
      <c r="J33" s="53" t="s">
        <v>70</v>
      </c>
      <c r="K33" s="237" t="s">
        <v>194</v>
      </c>
      <c r="L33" s="104"/>
      <c r="M33" s="27"/>
      <c r="N33" s="81"/>
      <c r="O33" s="81"/>
      <c r="P33" s="81"/>
      <c r="Q33" s="81"/>
      <c r="R33" s="81"/>
    </row>
    <row r="34" spans="1:18" ht="18.75" thickBot="1">
      <c r="A34" s="39"/>
      <c r="B34" s="41"/>
      <c r="C34" s="8">
        <f t="shared" si="6"/>
        <v>12</v>
      </c>
      <c r="D34" s="41" t="s">
        <v>155</v>
      </c>
      <c r="E34" s="75" t="s">
        <v>156</v>
      </c>
      <c r="F34" s="76">
        <v>18.137</v>
      </c>
      <c r="G34" s="53" t="s">
        <v>70</v>
      </c>
      <c r="H34" s="53">
        <v>1.66</v>
      </c>
      <c r="I34" s="53">
        <f t="shared" si="5"/>
        <v>19.797</v>
      </c>
      <c r="J34" s="53">
        <v>1.746</v>
      </c>
      <c r="K34" s="235">
        <v>1</v>
      </c>
      <c r="L34" s="49"/>
      <c r="M34" s="27"/>
      <c r="N34" s="81"/>
      <c r="O34" s="81"/>
      <c r="P34" s="81"/>
      <c r="Q34" s="81"/>
      <c r="R34" s="81"/>
    </row>
    <row r="35" spans="1:18" ht="18.75" thickBot="1">
      <c r="A35" s="60"/>
      <c r="B35" s="566" t="s">
        <v>134</v>
      </c>
      <c r="C35" s="567"/>
      <c r="D35" s="568"/>
      <c r="E35" s="62">
        <f aca="true" t="shared" si="7" ref="E35:J35">SUM(E23:E34)</f>
        <v>45166.06</v>
      </c>
      <c r="F35" s="61">
        <f t="shared" si="7"/>
        <v>189.30700000000002</v>
      </c>
      <c r="G35" s="61">
        <f t="shared" si="7"/>
        <v>17.072</v>
      </c>
      <c r="H35" s="61">
        <f t="shared" si="7"/>
        <v>19.041</v>
      </c>
      <c r="I35" s="61">
        <f t="shared" si="7"/>
        <v>225.42</v>
      </c>
      <c r="J35" s="61">
        <f t="shared" si="7"/>
        <v>37.217</v>
      </c>
      <c r="K35" s="236">
        <v>1</v>
      </c>
      <c r="L35" s="169"/>
      <c r="M35" s="27"/>
      <c r="N35" s="81"/>
      <c r="O35" s="81"/>
      <c r="P35" s="81"/>
      <c r="Q35" s="81"/>
      <c r="R35" s="81"/>
    </row>
    <row r="36" spans="1:18" ht="19.5" thickBot="1" thickTop="1">
      <c r="A36" s="26" t="s">
        <v>77</v>
      </c>
      <c r="B36" s="585" t="s">
        <v>78</v>
      </c>
      <c r="C36" s="586"/>
      <c r="D36" s="586"/>
      <c r="E36" s="21"/>
      <c r="F36" s="72"/>
      <c r="G36" s="19"/>
      <c r="H36" s="19"/>
      <c r="I36" s="19"/>
      <c r="J36" s="19"/>
      <c r="K36" s="67"/>
      <c r="L36" s="169"/>
      <c r="M36" s="27"/>
      <c r="N36" s="81"/>
      <c r="O36" s="81"/>
      <c r="P36" s="81"/>
      <c r="Q36" s="81"/>
      <c r="R36" s="81"/>
    </row>
    <row r="37" spans="1:18" ht="18.75" thickTop="1">
      <c r="A37" s="38">
        <v>1</v>
      </c>
      <c r="B37" s="4" t="s">
        <v>13</v>
      </c>
      <c r="C37" s="52">
        <v>1</v>
      </c>
      <c r="D37" s="11" t="s">
        <v>184</v>
      </c>
      <c r="E37" s="22">
        <v>1379</v>
      </c>
      <c r="F37" s="115">
        <v>1.027</v>
      </c>
      <c r="G37" s="115" t="s">
        <v>70</v>
      </c>
      <c r="H37" s="115" t="s">
        <v>70</v>
      </c>
      <c r="I37" s="115">
        <f>+H37+G37+F37</f>
        <v>1.027</v>
      </c>
      <c r="J37" s="115">
        <v>1.13</v>
      </c>
      <c r="K37" s="184">
        <f>+I37/J37</f>
        <v>0.9088495575221239</v>
      </c>
      <c r="L37" s="57"/>
      <c r="M37" s="88">
        <f>SUM(K37:K48)/12</f>
        <v>0.7451894835879912</v>
      </c>
      <c r="N37" s="81"/>
      <c r="O37" s="81"/>
      <c r="P37" s="81"/>
      <c r="Q37" s="81"/>
      <c r="R37" s="81"/>
    </row>
    <row r="38" spans="1:18" ht="18">
      <c r="A38" s="38"/>
      <c r="B38" s="4"/>
      <c r="C38" s="52">
        <f>+C37+1</f>
        <v>2</v>
      </c>
      <c r="D38" s="11" t="s">
        <v>151</v>
      </c>
      <c r="E38" s="22">
        <v>989</v>
      </c>
      <c r="F38" s="53">
        <v>2.87</v>
      </c>
      <c r="G38" s="53">
        <v>0.648</v>
      </c>
      <c r="H38" s="77" t="s">
        <v>70</v>
      </c>
      <c r="I38" s="6">
        <f>SUM(F38:H38)</f>
        <v>3.5180000000000002</v>
      </c>
      <c r="J38" s="53">
        <v>0.586</v>
      </c>
      <c r="K38" s="239">
        <v>1</v>
      </c>
      <c r="L38" s="105"/>
      <c r="M38" s="27"/>
      <c r="N38" s="81"/>
      <c r="O38" s="81"/>
      <c r="P38" s="81"/>
      <c r="Q38" s="81"/>
      <c r="R38" s="81"/>
    </row>
    <row r="39" spans="1:18" ht="18">
      <c r="A39" s="28">
        <f>+A37+1</f>
        <v>2</v>
      </c>
      <c r="B39" s="7" t="s">
        <v>14</v>
      </c>
      <c r="C39" s="52">
        <f aca="true" t="shared" si="8" ref="C39:C48">+C38+1</f>
        <v>3</v>
      </c>
      <c r="D39" s="5" t="s">
        <v>15</v>
      </c>
      <c r="E39" s="14">
        <v>5137</v>
      </c>
      <c r="F39" s="53">
        <v>1.305</v>
      </c>
      <c r="G39" s="53" t="s">
        <v>70</v>
      </c>
      <c r="H39" s="53" t="s">
        <v>70</v>
      </c>
      <c r="I39" s="53">
        <f>+H39+G39+F39</f>
        <v>1.305</v>
      </c>
      <c r="J39" s="53">
        <v>5.137</v>
      </c>
      <c r="K39" s="239">
        <f>+I39/J39</f>
        <v>0.2540393225618065</v>
      </c>
      <c r="L39" s="170"/>
      <c r="M39" s="143" t="s">
        <v>180</v>
      </c>
      <c r="N39" s="81"/>
      <c r="O39" s="81"/>
      <c r="P39" s="81"/>
      <c r="Q39" s="81"/>
      <c r="R39" s="81"/>
    </row>
    <row r="40" spans="1:18" ht="15">
      <c r="A40" s="28">
        <f>+A39+1</f>
        <v>3</v>
      </c>
      <c r="B40" s="7" t="s">
        <v>18</v>
      </c>
      <c r="C40" s="52">
        <f t="shared" si="8"/>
        <v>4</v>
      </c>
      <c r="D40" s="5" t="s">
        <v>19</v>
      </c>
      <c r="E40" s="14">
        <v>585</v>
      </c>
      <c r="F40" s="53" t="s">
        <v>70</v>
      </c>
      <c r="G40" s="53" t="s">
        <v>70</v>
      </c>
      <c r="H40" s="53" t="s">
        <v>70</v>
      </c>
      <c r="I40" s="53" t="s">
        <v>70</v>
      </c>
      <c r="J40" s="53" t="s">
        <v>70</v>
      </c>
      <c r="K40" s="237" t="s">
        <v>194</v>
      </c>
      <c r="L40" s="170"/>
      <c r="M40" s="27"/>
      <c r="N40" s="81"/>
      <c r="O40" s="81"/>
      <c r="P40" s="81"/>
      <c r="Q40" s="81"/>
      <c r="R40" s="81"/>
    </row>
    <row r="41" spans="1:18" ht="18">
      <c r="A41" s="28">
        <f>+A40+1</f>
        <v>4</v>
      </c>
      <c r="B41" s="7" t="s">
        <v>20</v>
      </c>
      <c r="C41" s="52">
        <f t="shared" si="8"/>
        <v>5</v>
      </c>
      <c r="D41" s="5" t="s">
        <v>21</v>
      </c>
      <c r="E41" s="14">
        <v>665</v>
      </c>
      <c r="F41" s="53">
        <v>0.35</v>
      </c>
      <c r="G41" s="53">
        <v>0.18</v>
      </c>
      <c r="H41" s="53">
        <v>0.133</v>
      </c>
      <c r="I41" s="53">
        <f>+H41+G41+F41</f>
        <v>0.663</v>
      </c>
      <c r="J41" s="53">
        <v>0.84</v>
      </c>
      <c r="K41" s="184">
        <f>+I41/J41</f>
        <v>0.7892857142857144</v>
      </c>
      <c r="L41" s="170"/>
      <c r="M41" s="27"/>
      <c r="N41" s="81"/>
      <c r="O41" s="81"/>
      <c r="P41" s="81"/>
      <c r="Q41" s="81"/>
      <c r="R41" s="81"/>
    </row>
    <row r="42" spans="1:18" ht="18">
      <c r="A42" s="28"/>
      <c r="B42" s="7"/>
      <c r="C42" s="52">
        <f t="shared" si="8"/>
        <v>6</v>
      </c>
      <c r="D42" s="5" t="s">
        <v>152</v>
      </c>
      <c r="E42" s="14">
        <v>1590</v>
      </c>
      <c r="F42" s="53">
        <v>0.095</v>
      </c>
      <c r="G42" s="53">
        <v>1.402</v>
      </c>
      <c r="H42" s="53" t="s">
        <v>70</v>
      </c>
      <c r="I42" s="53">
        <f>+H42+G42+F42</f>
        <v>1.4969999999999999</v>
      </c>
      <c r="J42" s="53">
        <v>1.987</v>
      </c>
      <c r="K42" s="239">
        <f>+I42/J42</f>
        <v>0.7533970810266732</v>
      </c>
      <c r="L42" s="170"/>
      <c r="M42" s="27"/>
      <c r="N42" s="81"/>
      <c r="O42" s="81"/>
      <c r="P42" s="81"/>
      <c r="Q42" s="81"/>
      <c r="R42" s="81"/>
    </row>
    <row r="43" spans="1:18" ht="18">
      <c r="A43" s="28">
        <f>+A41+1</f>
        <v>5</v>
      </c>
      <c r="B43" s="7" t="s">
        <v>22</v>
      </c>
      <c r="C43" s="52">
        <f t="shared" si="8"/>
        <v>7</v>
      </c>
      <c r="D43" s="5" t="s">
        <v>23</v>
      </c>
      <c r="E43" s="14">
        <v>779</v>
      </c>
      <c r="F43" s="53">
        <v>1.075</v>
      </c>
      <c r="G43" s="53">
        <v>0.61</v>
      </c>
      <c r="H43" s="53" t="s">
        <v>70</v>
      </c>
      <c r="I43" s="53">
        <f>+H43+G43+F43</f>
        <v>1.685</v>
      </c>
      <c r="J43" s="53">
        <v>0.974</v>
      </c>
      <c r="K43" s="238">
        <v>1</v>
      </c>
      <c r="L43" s="170"/>
      <c r="M43" s="27"/>
      <c r="N43" s="81"/>
      <c r="O43" s="81"/>
      <c r="P43" s="81"/>
      <c r="Q43" s="81"/>
      <c r="R43" s="81"/>
    </row>
    <row r="44" spans="1:18" ht="18">
      <c r="A44" s="28"/>
      <c r="B44" s="7"/>
      <c r="C44" s="52">
        <f t="shared" si="8"/>
        <v>8</v>
      </c>
      <c r="D44" s="5" t="s">
        <v>153</v>
      </c>
      <c r="E44" s="14">
        <v>1375</v>
      </c>
      <c r="F44" s="53">
        <v>1.212</v>
      </c>
      <c r="G44" s="53">
        <v>0.196</v>
      </c>
      <c r="H44" s="53">
        <v>0.052</v>
      </c>
      <c r="I44" s="53">
        <f>+H44+G44+F44</f>
        <v>1.46</v>
      </c>
      <c r="J44" s="53">
        <v>0.667</v>
      </c>
      <c r="K44" s="184">
        <v>1</v>
      </c>
      <c r="L44" s="171"/>
      <c r="M44" s="27"/>
      <c r="N44" s="81"/>
      <c r="O44" s="81"/>
      <c r="P44" s="81"/>
      <c r="Q44" s="81"/>
      <c r="R44" s="81"/>
    </row>
    <row r="45" spans="1:18" ht="18">
      <c r="A45" s="28">
        <f>+A43+1</f>
        <v>6</v>
      </c>
      <c r="B45" s="7" t="s">
        <v>24</v>
      </c>
      <c r="C45" s="52">
        <f t="shared" si="8"/>
        <v>9</v>
      </c>
      <c r="D45" s="5" t="s">
        <v>25</v>
      </c>
      <c r="E45" s="14">
        <v>2865</v>
      </c>
      <c r="F45" s="77">
        <v>2.925</v>
      </c>
      <c r="G45" s="53" t="s">
        <v>70</v>
      </c>
      <c r="H45" s="53">
        <f>+J45</f>
        <v>2.325</v>
      </c>
      <c r="I45" s="6">
        <f>SUM(F45:H45)</f>
        <v>5.25</v>
      </c>
      <c r="J45" s="6">
        <v>2.325</v>
      </c>
      <c r="K45" s="184">
        <v>1</v>
      </c>
      <c r="L45" s="172"/>
      <c r="M45" s="27"/>
      <c r="N45" s="81"/>
      <c r="O45" s="81"/>
      <c r="P45" s="81"/>
      <c r="Q45" s="81"/>
      <c r="R45" s="81"/>
    </row>
    <row r="46" spans="1:18" ht="18">
      <c r="A46" s="28"/>
      <c r="B46" s="9"/>
      <c r="C46" s="52">
        <f t="shared" si="8"/>
        <v>10</v>
      </c>
      <c r="D46" s="10" t="s">
        <v>154</v>
      </c>
      <c r="E46" s="14">
        <v>683</v>
      </c>
      <c r="F46" s="77">
        <v>1.435</v>
      </c>
      <c r="G46" s="77">
        <v>0.421</v>
      </c>
      <c r="H46" s="77" t="s">
        <v>70</v>
      </c>
      <c r="I46" s="77">
        <f>+H46+G46+F46</f>
        <v>1.856</v>
      </c>
      <c r="J46" s="77">
        <v>0.36</v>
      </c>
      <c r="K46" s="184">
        <v>1</v>
      </c>
      <c r="L46" s="57"/>
      <c r="M46" s="27"/>
      <c r="N46" s="81"/>
      <c r="O46" s="81"/>
      <c r="P46" s="81"/>
      <c r="Q46" s="81"/>
      <c r="R46" s="81"/>
    </row>
    <row r="47" spans="1:18" ht="18">
      <c r="A47" s="28">
        <v>7</v>
      </c>
      <c r="B47" s="9" t="s">
        <v>26</v>
      </c>
      <c r="C47" s="52">
        <f t="shared" si="8"/>
        <v>11</v>
      </c>
      <c r="D47" s="10" t="s">
        <v>27</v>
      </c>
      <c r="E47" s="15">
        <v>3760</v>
      </c>
      <c r="F47" s="53" t="s">
        <v>70</v>
      </c>
      <c r="G47" s="53">
        <v>0.445</v>
      </c>
      <c r="H47" s="53">
        <v>0.445</v>
      </c>
      <c r="I47" s="53">
        <f>+H47+G47+F47</f>
        <v>0.89</v>
      </c>
      <c r="J47" s="53">
        <v>3.76</v>
      </c>
      <c r="K47" s="240">
        <f>+I47/J47</f>
        <v>0.2367021276595745</v>
      </c>
      <c r="L47" s="170"/>
      <c r="M47" s="179"/>
      <c r="N47" s="81"/>
      <c r="O47" s="81"/>
      <c r="P47" s="81"/>
      <c r="Q47" s="81"/>
      <c r="R47" s="81"/>
    </row>
    <row r="48" spans="1:18" ht="18.75" thickBot="1">
      <c r="A48" s="39"/>
      <c r="B48" s="40"/>
      <c r="C48" s="52">
        <f t="shared" si="8"/>
        <v>12</v>
      </c>
      <c r="D48" s="41" t="s">
        <v>146</v>
      </c>
      <c r="E48" s="63">
        <v>1759</v>
      </c>
      <c r="F48" s="53">
        <v>0.45</v>
      </c>
      <c r="G48" s="53">
        <v>1.202</v>
      </c>
      <c r="H48" s="53">
        <v>0.214</v>
      </c>
      <c r="I48" s="53">
        <f>+F48+G48+H48</f>
        <v>1.8659999999999999</v>
      </c>
      <c r="J48" s="53">
        <v>1.759</v>
      </c>
      <c r="K48" s="184">
        <v>1</v>
      </c>
      <c r="L48" s="170"/>
      <c r="M48" s="27"/>
      <c r="N48" s="81"/>
      <c r="O48" s="81"/>
      <c r="P48" s="81"/>
      <c r="Q48" s="81"/>
      <c r="R48" s="81"/>
    </row>
    <row r="49" spans="1:18" ht="18.75" thickBot="1">
      <c r="A49" s="66"/>
      <c r="B49" s="566" t="s">
        <v>135</v>
      </c>
      <c r="C49" s="567"/>
      <c r="D49" s="568"/>
      <c r="E49" s="62">
        <f>SUM(E37:E48)</f>
        <v>21566</v>
      </c>
      <c r="F49" s="80">
        <f>SUM(F37:F48)</f>
        <v>12.743999999999998</v>
      </c>
      <c r="G49" s="61">
        <f>SUM(G37:G48)</f>
        <v>5.103999999999999</v>
      </c>
      <c r="H49" s="61">
        <f>SUM(H37:H48)</f>
        <v>3.169</v>
      </c>
      <c r="I49" s="61">
        <f>SUM(I37:I48)/12</f>
        <v>1.7514166666666668</v>
      </c>
      <c r="J49" s="61">
        <f>SUM(J37:J48)/12</f>
        <v>1.6270833333333332</v>
      </c>
      <c r="K49" s="186">
        <v>1</v>
      </c>
      <c r="L49" s="173"/>
      <c r="M49" s="27"/>
      <c r="N49" s="81"/>
      <c r="O49" s="81"/>
      <c r="P49" s="81"/>
      <c r="Q49" s="81"/>
      <c r="R49" s="81"/>
    </row>
    <row r="50" spans="5:12" ht="13.5" thickBot="1">
      <c r="E50" s="73"/>
      <c r="F50" s="73"/>
      <c r="G50" s="73"/>
      <c r="H50" s="73"/>
      <c r="I50" s="73"/>
      <c r="J50" s="73"/>
      <c r="K50" s="79"/>
      <c r="L50" s="79"/>
    </row>
    <row r="51" spans="2:12" ht="16.5" thickBot="1">
      <c r="B51" s="114"/>
      <c r="C51" s="113"/>
      <c r="D51" s="174" t="s">
        <v>186</v>
      </c>
      <c r="E51" s="178"/>
      <c r="F51" s="177" t="s">
        <v>190</v>
      </c>
      <c r="G51" s="175"/>
      <c r="H51" s="175"/>
      <c r="I51" s="175"/>
      <c r="J51" s="73"/>
      <c r="K51" s="73"/>
      <c r="L51" s="73"/>
    </row>
    <row r="52" spans="5:9" ht="16.5" thickBot="1">
      <c r="E52" s="111"/>
      <c r="F52" s="111"/>
      <c r="G52" s="176"/>
      <c r="H52" s="176"/>
      <c r="I52" s="176"/>
    </row>
    <row r="53" spans="5:9" ht="16.5" thickBot="1">
      <c r="E53" s="189"/>
      <c r="F53" s="177" t="s">
        <v>187</v>
      </c>
      <c r="G53" s="176"/>
      <c r="H53" s="176"/>
      <c r="I53" s="176"/>
    </row>
    <row r="54" spans="5:9" ht="16.5" thickBot="1">
      <c r="E54" s="111"/>
      <c r="F54" s="111"/>
      <c r="G54" s="176"/>
      <c r="H54" s="176"/>
      <c r="I54" s="176"/>
    </row>
    <row r="55" spans="5:9" ht="16.5" thickBot="1">
      <c r="E55" s="188"/>
      <c r="F55" s="177" t="s">
        <v>189</v>
      </c>
      <c r="G55" s="176"/>
      <c r="H55" s="176"/>
      <c r="I55" s="176"/>
    </row>
    <row r="56" spans="5:9" ht="16.5" thickBot="1">
      <c r="E56" s="111"/>
      <c r="F56" s="111"/>
      <c r="G56" s="176"/>
      <c r="H56" s="176"/>
      <c r="I56" s="176"/>
    </row>
    <row r="57" spans="5:9" ht="18.75" thickBot="1">
      <c r="E57" s="187"/>
      <c r="F57" s="177" t="s">
        <v>188</v>
      </c>
      <c r="G57" s="176"/>
      <c r="H57" s="176"/>
      <c r="I57" s="176"/>
    </row>
  </sheetData>
  <sheetProtection/>
  <mergeCells count="15">
    <mergeCell ref="B9:D9"/>
    <mergeCell ref="B36:D36"/>
    <mergeCell ref="B49:D49"/>
    <mergeCell ref="B21:D21"/>
    <mergeCell ref="B22:D22"/>
    <mergeCell ref="F22:J22"/>
    <mergeCell ref="B35:D35"/>
    <mergeCell ref="A1:K1"/>
    <mergeCell ref="A2:K2"/>
    <mergeCell ref="A3:K3"/>
    <mergeCell ref="A5:A7"/>
    <mergeCell ref="B5:C7"/>
    <mergeCell ref="D5:D7"/>
    <mergeCell ref="G5:H5"/>
    <mergeCell ref="K6:K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 2000</dc:creator>
  <cp:keywords/>
  <dc:description/>
  <cp:lastModifiedBy>userr</cp:lastModifiedBy>
  <cp:lastPrinted>2013-04-11T19:22:28Z</cp:lastPrinted>
  <dcterms:created xsi:type="dcterms:W3CDTF">2001-01-08T14:44:55Z</dcterms:created>
  <dcterms:modified xsi:type="dcterms:W3CDTF">2013-05-01T21:58:20Z</dcterms:modified>
  <cp:category/>
  <cp:version/>
  <cp:contentType/>
  <cp:contentStatus/>
</cp:coreProperties>
</file>