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5" yWindow="0" windowWidth="11100" windowHeight="8250" firstSheet="2" activeTab="2"/>
  </bookViews>
  <sheets>
    <sheet name="REKAP 5 TH" sheetId="1" r:id="rId1"/>
    <sheet name="REKAP PROP" sheetId="2" r:id="rId2"/>
    <sheet name="BENG.SOLO" sheetId="3" r:id="rId3"/>
    <sheet name="PROB-SCIT" sheetId="4" r:id="rId4"/>
    <sheet name="PC-JT-SL" sheetId="5" r:id="rId5"/>
    <sheet name="Analisa" sheetId="6" state="hidden" r:id="rId6"/>
    <sheet name="Sheet1" sheetId="7" state="hidden" r:id="rId7"/>
    <sheet name="Sheet2" sheetId="8" state="hidden" r:id="rId8"/>
    <sheet name="Sheet3" sheetId="9" state="hidden" r:id="rId9"/>
  </sheets>
  <definedNames>
    <definedName name="_xlnm.Print_Area" localSheetId="2">'BENG.SOLO'!$B$2:$L$63</definedName>
    <definedName name="_xlnm.Print_Area" localSheetId="4">'PC-JT-SL'!$B$1:$L$77</definedName>
    <definedName name="_xlnm.Print_Area" localSheetId="3">'PROB-SCIT'!$B$1:$M$64</definedName>
    <definedName name="_xlnm.Print_Area" localSheetId="0">'REKAP 5 TH'!$B$1:$L$52</definedName>
  </definedNames>
  <calcPr fullCalcOnLoad="1"/>
</workbook>
</file>

<file path=xl/sharedStrings.xml><?xml version="1.0" encoding="utf-8"?>
<sst xmlns="http://schemas.openxmlformats.org/spreadsheetml/2006/main" count="771" uniqueCount="396">
  <si>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</si>
  <si>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</si>
  <si>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</si>
  <si>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</si>
  <si>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</si>
  <si>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</si>
  <si>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</si>
  <si>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</si>
  <si>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</si>
  <si>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</si>
  <si>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</si>
  <si>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</si>
  <si>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</si>
  <si>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</si>
  <si>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</si>
  <si>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</si>
  <si>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</si>
  <si>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</si>
  <si>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</si>
  <si>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</si>
  <si>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</si>
  <si>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</si>
  <si>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</si>
  <si>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</si>
  <si>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</si>
  <si>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</si>
  <si>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</si>
  <si>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</si>
  <si>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Temon</t>
  </si>
  <si>
    <t>Klaten</t>
  </si>
  <si>
    <t>Kaligawe</t>
  </si>
  <si>
    <t>Karanganyar</t>
  </si>
  <si>
    <t>Boyolali</t>
  </si>
  <si>
    <t>Sragen</t>
  </si>
  <si>
    <t>Bonggo</t>
  </si>
  <si>
    <t>Parean</t>
  </si>
  <si>
    <t>Trani</t>
  </si>
  <si>
    <t>Dimoro</t>
  </si>
  <si>
    <t>Sukoharjo</t>
  </si>
  <si>
    <t>Grogol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</si>
  <si>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</si>
  <si>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</si>
  <si>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</si>
  <si>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</si>
  <si>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</si>
  <si>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</si>
  <si>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</si>
  <si>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</si>
  <si>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</si>
  <si>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</si>
  <si>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</si>
  <si>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</si>
  <si>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</si>
  <si>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</si>
  <si>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</si>
  <si>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</si>
  <si>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</si>
  <si>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</si>
  <si>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</si>
  <si>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</si>
  <si>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</si>
  <si>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</si>
  <si>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</si>
  <si>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</si>
  <si>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</si>
  <si>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</si>
  <si>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</si>
  <si>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</si>
  <si>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</si>
  <si>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</si>
  <si>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</si>
  <si>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</si>
  <si>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</si>
  <si>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</si>
  <si>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</si>
  <si>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</si>
  <si>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</si>
  <si>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</si>
  <si>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</si>
  <si>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</si>
  <si>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</si>
  <si>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</si>
  <si>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</si>
  <si>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</si>
  <si>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</si>
  <si>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</si>
  <si>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</si>
  <si>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</si>
  <si>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</si>
  <si>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</si>
  <si>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</si>
  <si>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</si>
  <si>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</si>
  <si>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</si>
  <si>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</si>
  <si>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</si>
  <si>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</si>
  <si>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</si>
  <si>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</si>
  <si>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t>Jaban</t>
  </si>
  <si>
    <t>Ploso Wareng</t>
  </si>
  <si>
    <t>Walikan</t>
  </si>
  <si>
    <t>Pepen</t>
  </si>
  <si>
    <t>Lemah Bang II</t>
  </si>
  <si>
    <t>Karag I</t>
  </si>
  <si>
    <t>Karag  II</t>
  </si>
  <si>
    <t>Siragas</t>
  </si>
  <si>
    <t>Kedung Gabel</t>
  </si>
  <si>
    <t>Galeh</t>
  </si>
  <si>
    <t>Badran</t>
  </si>
  <si>
    <t>Soropadan</t>
  </si>
  <si>
    <t>Colo Barat</t>
  </si>
  <si>
    <t>Colo Timur</t>
  </si>
  <si>
    <t>Bapang</t>
  </si>
  <si>
    <t>Wonotoro</t>
  </si>
  <si>
    <t>Garat I</t>
  </si>
  <si>
    <t>Baran</t>
  </si>
  <si>
    <t>Pundung</t>
  </si>
  <si>
    <t>Pakelan</t>
  </si>
  <si>
    <t>Watuleter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</si>
  <si>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</si>
  <si>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</si>
  <si>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</si>
  <si>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</si>
  <si>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</si>
  <si>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</si>
  <si>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</si>
  <si>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</si>
  <si>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</si>
  <si>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</si>
  <si>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</si>
  <si>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</si>
  <si>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</si>
  <si>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</si>
  <si>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</si>
  <si>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</si>
  <si>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</si>
  <si>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</si>
  <si>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>Jumlah</t>
  </si>
  <si>
    <t>Jumlah Total</t>
  </si>
  <si>
    <t xml:space="preserve">Sukoharjo cs (5) </t>
  </si>
  <si>
    <t>BALAI PSDA PEMALI COMAL, JRAGUNG TUNTANG DAN SERANG LUSI JUANA</t>
  </si>
  <si>
    <t>SERANG LUSI JUANA</t>
  </si>
  <si>
    <t>Sentul</t>
  </si>
  <si>
    <t>Plumbon</t>
  </si>
  <si>
    <t>Senjoyo (Ajiawur)</t>
  </si>
  <si>
    <t>Kalongan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</si>
  <si>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</si>
  <si>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</si>
  <si>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</si>
  <si>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</si>
  <si>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</si>
  <si>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</si>
  <si>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</si>
  <si>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</si>
  <si>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</si>
  <si>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</si>
  <si>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Faktor K</t>
  </si>
  <si>
    <t>Rata-rata</t>
  </si>
  <si>
    <t>REKAP PANTAUAN  DEBIT BENDUNG KONTROL POINT</t>
  </si>
  <si>
    <t>Gisik</t>
  </si>
  <si>
    <t>Colo</t>
  </si>
  <si>
    <t>Kr.Anyar</t>
  </si>
  <si>
    <t>Kedung Putri</t>
  </si>
  <si>
    <t>Boro</t>
  </si>
  <si>
    <t>Pager/Tlatar</t>
  </si>
  <si>
    <t>Sudikampir</t>
  </si>
  <si>
    <t>Padurekso</t>
  </si>
  <si>
    <t>Munggur</t>
  </si>
  <si>
    <t>TOLERANSI</t>
  </si>
  <si>
    <t>REALISASI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</si>
  <si>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</si>
  <si>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</si>
  <si>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</si>
  <si>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</si>
  <si>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</si>
  <si>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</si>
  <si>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</si>
  <si>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</si>
  <si>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</si>
  <si>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</si>
  <si>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</si>
  <si>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</si>
  <si>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</si>
  <si>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</si>
  <si>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</si>
  <si>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</si>
  <si>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</si>
  <si>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</si>
  <si>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</si>
  <si>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</si>
  <si>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</si>
  <si>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</si>
  <si>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</si>
  <si>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</si>
  <si>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</si>
  <si>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</si>
  <si>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</si>
  <si>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</si>
  <si>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</si>
  <si>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</si>
  <si>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</si>
  <si>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</si>
  <si>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</si>
  <si>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</si>
  <si>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</si>
  <si>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</si>
  <si>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</si>
  <si>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</si>
  <si>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</si>
  <si>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</si>
  <si>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</si>
  <si>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</si>
  <si>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</si>
  <si>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</si>
  <si>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</si>
  <si>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</si>
  <si>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</si>
  <si>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</si>
  <si>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</si>
  <si>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</si>
  <si>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</si>
  <si>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</si>
  <si>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</si>
  <si>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</si>
  <si>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</si>
  <si>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</si>
  <si>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</si>
  <si>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</si>
  <si>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</si>
  <si>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</si>
  <si>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</si>
  <si>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Kab/Kota Pekalongan</t>
  </si>
  <si>
    <t>Kab. Tegal</t>
  </si>
  <si>
    <t>Dukuhjati</t>
  </si>
  <si>
    <t>Cipero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</si>
  <si>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</si>
  <si>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</si>
  <si>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</si>
  <si>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</si>
  <si>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</si>
  <si>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</si>
  <si>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</si>
  <si>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</si>
  <si>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</si>
  <si>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</si>
  <si>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</si>
  <si>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</si>
  <si>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 Kupang</t>
  </si>
  <si>
    <t xml:space="preserve"> Babakan</t>
  </si>
  <si>
    <t xml:space="preserve"> Kabuyutan</t>
  </si>
  <si>
    <t xml:space="preserve"> Gung</t>
  </si>
  <si>
    <t xml:space="preserve"> Rambut</t>
  </si>
  <si>
    <t xml:space="preserve"> Kumisik</t>
  </si>
  <si>
    <t>Kramat</t>
  </si>
  <si>
    <t>SUNGAI</t>
  </si>
  <si>
    <t>Kupang</t>
  </si>
  <si>
    <t>Sengkarang</t>
  </si>
  <si>
    <t>Pemali</t>
  </si>
  <si>
    <t>Genteng</t>
  </si>
  <si>
    <t>Kalisapi</t>
  </si>
  <si>
    <t>KAB/ KOTA</t>
  </si>
  <si>
    <t>Keb</t>
  </si>
  <si>
    <t>KAB  /  KOTA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</si>
  <si>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</si>
  <si>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</si>
  <si>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</si>
  <si>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</si>
  <si>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</si>
  <si>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</si>
  <si>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</si>
  <si>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</si>
  <si>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</si>
  <si>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</si>
  <si>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</si>
  <si>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</si>
  <si>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</si>
  <si>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</si>
  <si>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</si>
  <si>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</si>
  <si>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</si>
  <si>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</si>
  <si>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</si>
  <si>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</si>
  <si>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</si>
  <si>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</si>
  <si>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</si>
  <si>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</si>
  <si>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</si>
  <si>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</si>
  <si>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</si>
  <si>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</si>
  <si>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</si>
  <si>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</si>
  <si>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</si>
  <si>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</si>
  <si>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</si>
  <si>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</si>
  <si>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</si>
  <si>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</si>
  <si>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</si>
  <si>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</si>
  <si>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</si>
  <si>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</si>
  <si>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</si>
  <si>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</si>
  <si>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</si>
  <si>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Kaligawe</t>
  </si>
  <si>
    <t xml:space="preserve"> Jebol</t>
  </si>
  <si>
    <t xml:space="preserve"> Pusur</t>
  </si>
  <si>
    <t xml:space="preserve"> Jlantah</t>
  </si>
  <si>
    <t xml:space="preserve"> Temon</t>
  </si>
  <si>
    <t xml:space="preserve"> Walikan</t>
  </si>
  <si>
    <t xml:space="preserve"> Bangsri</t>
  </si>
  <si>
    <t xml:space="preserve"> samin'</t>
  </si>
  <si>
    <t xml:space="preserve"> Latak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</si>
  <si>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</si>
  <si>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</si>
  <si>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</si>
  <si>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</si>
  <si>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</si>
  <si>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Butak</t>
  </si>
  <si>
    <t xml:space="preserve"> Pepe</t>
  </si>
  <si>
    <t xml:space="preserve"> Legok</t>
  </si>
  <si>
    <t xml:space="preserve"> Kumpul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</si>
  <si>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</si>
  <si>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</si>
  <si>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</si>
  <si>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</si>
  <si>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</si>
  <si>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</si>
  <si>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</si>
  <si>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</si>
  <si>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</si>
  <si>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</si>
  <si>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</si>
  <si>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</si>
  <si>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</si>
  <si>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</si>
  <si>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</si>
  <si>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</si>
  <si>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</si>
  <si>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</si>
  <si>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</si>
  <si>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</si>
  <si>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</si>
  <si>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</si>
  <si>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</si>
  <si>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</si>
  <si>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</si>
  <si>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</si>
  <si>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</si>
  <si>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</si>
  <si>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JUMLAH</t>
  </si>
  <si>
    <t>TAHUN</t>
  </si>
  <si>
    <t xml:space="preserve">PADA  PUNCAK MUSIM KEMARAU PERTAHUN SE JAWA TENGAH </t>
  </si>
  <si>
    <t>2010 / September</t>
  </si>
  <si>
    <t>2011 / september</t>
  </si>
  <si>
    <t>2012 / september</t>
  </si>
  <si>
    <t>Dumpil</t>
  </si>
  <si>
    <t>Lusi</t>
  </si>
  <si>
    <t>2014 / september</t>
  </si>
  <si>
    <t>2013 /  September</t>
  </si>
  <si>
    <t xml:space="preserve">   </t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</si>
  <si>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</si>
  <si>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</si>
  <si>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3/</t>
    </r>
    <r>
      <rPr>
        <sz val="12"/>
        <rFont val="Calibri"/>
        <family val="2"/>
      </rPr>
      <t>dt).</t>
    </r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</si>
  <si>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</si>
  <si>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</si>
  <si>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>REKAP PANTAUAN DEBIT BENDUNG KONTROL POINT</t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</si>
  <si>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</si>
  <si>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 xml:space="preserve"> Naruan</t>
  </si>
  <si>
    <t xml:space="preserve">   Faktor K  &gt;  0.7</t>
  </si>
  <si>
    <t xml:space="preserve">   Faktor K  =  0.5 s/d 0.7</t>
  </si>
  <si>
    <t xml:space="preserve">   Faktor K  =   0.3 s/d 0.5</t>
  </si>
  <si>
    <t xml:space="preserve">   Faktor K  &lt;  0.3</t>
  </si>
  <si>
    <t>Aman</t>
  </si>
  <si>
    <t>Giliran (Potensi Rawan Kekeringan)</t>
  </si>
  <si>
    <t>Rawan Kekeringan</t>
  </si>
  <si>
    <t>Sangat Rawan Kekeringan</t>
  </si>
  <si>
    <t>------------------&gt;</t>
  </si>
  <si>
    <t>Sudah 12 Oktober 2015</t>
  </si>
  <si>
    <t>Sidorejo+Lanang</t>
  </si>
  <si>
    <t>Sudah 19 - 25 Oktober 2015</t>
  </si>
  <si>
    <t>Probolo Sudah 26 - 1 November</t>
  </si>
  <si>
    <t>Sudah 27 - 2 November 2015</t>
  </si>
  <si>
    <t>2015 / Desember</t>
  </si>
  <si>
    <t>BALAI PU SDA TARU PEMALI COMAL, BODRI KUTHO DAN SERANG LUSI JUANA</t>
  </si>
  <si>
    <t>BODRI KUTHO</t>
  </si>
  <si>
    <t>BALAI PU SDA TARU PROBOLO DAN BALAI PU SDA TARU SERCIT</t>
  </si>
  <si>
    <t>BALAI PU SDA TARU BENGAWAN SOLO</t>
  </si>
  <si>
    <t xml:space="preserve">PER BALAI PU SDA   TARU  SE JAWA TENGAH </t>
  </si>
  <si>
    <t>BALAI PU SDA TARU</t>
  </si>
  <si>
    <t>BODRI  KUTO</t>
  </si>
  <si>
    <t xml:space="preserve">MINGGU ke I Februari  ( Tgl. 1 FEBRUARI   S / D 5 FEBRUARI  2018 )  </t>
  </si>
  <si>
    <t xml:space="preserve">MINGGU ke VI MARET ( Tgl. 27 MARET s/d  2  April  2018 ) 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</si>
</sst>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p. &quot;#,##0_);\(&quot;Rp. &quot;#,##0\)"/>
    <numFmt numFmtId="179" formatCode="&quot;Rp. &quot;#,##0_);[Red]\(&quot;Rp. &quot;#,##0\)"/>
    <numFmt numFmtId="180" formatCode="&quot;Rp. &quot;#,##0.00_);\(&quot;Rp. &quot;#,##0.00\)"/>
    <numFmt numFmtId="181" formatCode="&quot;Rp. &quot;#,##0.00_);[Red]\(&quot;Rp. &quot;#,##0.00\)"/>
    <numFmt numFmtId="182" formatCode="_(&quot;Rp. &quot;* #,##0_);_(&quot;Rp. &quot;* \(#,##0\);_(&quot;Rp. &quot;* &quot;-&quot;_);_(@_)"/>
    <numFmt numFmtId="183" formatCode="_(&quot;Rp. &quot;* #,##0.00_);_(&quot;Rp. &quot;* \(#,##0.00\);_(&quot;Rp. &quot;* &quot;-&quot;??_);_(@_)"/>
    <numFmt numFmtId="184" formatCode="_(* #,##0.000_);_(* \(#,##0.000\);_(* &quot;-&quot;??_);_(@_)"/>
    <numFmt numFmtId="185" formatCode="0.000"/>
    <numFmt numFmtId="186" formatCode="_(* #,##0.0_);_(* \(#,##0.0\);_(* &quot;-&quot;??_);_(@_)"/>
    <numFmt numFmtId="187" formatCode="_(* #,##0_);_(* \(#,##0\);_(* &quot;-&quot;??_);_(@_)"/>
    <numFmt numFmtId="188" formatCode="_(* #,##0.00_);_(* \(#,##0.00\);_(* &quot;-&quot;_);_(@_)"/>
    <numFmt numFmtId="189" formatCode="_(* #,##0.000_);_(* \(#,##0.000\);_(* &quot;-&quot;_);_(@_)"/>
    <numFmt numFmtId="190" formatCode="_(* #,##0.00_);_(* \(#,##0.00\);_(* \-??_);_(@_)"/>
    <numFmt numFmtId="191" formatCode="_(* #,##0_);_(* \(#,##0\);_(* \-??_);_(@_)"/>
    <numFmt numFmtId="192" formatCode="_(* #,##0.000_);_(* \(#,##0.000\);_(* \-??_);_(@_)"/>
    <numFmt numFmtId="193" formatCode="_(* #,##0.0000_);_(* \(#,##0.0000\);_(* \-??_);_(@_)"/>
    <numFmt numFmtId="194" formatCode="_ * #,##0_)_R_p_ ;_ * \(#,##0\)_R_p_ ;_ * &quot;-&quot;_)_R_p_ ;_ @_ "/>
    <numFmt numFmtId="195" formatCode="#,##0.000"/>
    <numFmt numFmtId="196" formatCode="_ * #,##0.00_)_R_p_ ;_ * \(#,##0.00\)_R_p_ ;_ * &quot;-&quot;??_)_R_p_ ;_ @_ "/>
    <numFmt numFmtId="197" formatCode="_(* #,##0.0_);_(* \(#,##0.0\);_(* \-??_);_(@_)"/>
    <numFmt numFmtId="198" formatCode="#,##0.000;[Red]#,##0.000"/>
    <numFmt numFmtId="199" formatCode="#,##0.0000"/>
    <numFmt numFmtId="200" formatCode="0.0000"/>
    <numFmt numFmtId="201" formatCode="0.0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9"/>
      <name val="Antique Olive"/>
      <family val="2"/>
    </font>
    <font>
      <sz val="11"/>
      <name val="Arial"/>
      <family val="2"/>
    </font>
    <font>
      <b/>
      <sz val="12"/>
      <name val="Script MT Bold"/>
      <family val="4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2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sz val="10"/>
      <name val="Sylfaen"/>
      <family val="1"/>
    </font>
    <font>
      <sz val="17.75"/>
      <color indexed="53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21.5"/>
      <color indexed="8"/>
      <name val="Arial"/>
      <family val="0"/>
    </font>
    <font>
      <b/>
      <sz val="10.25"/>
      <color indexed="8"/>
      <name val="Arial"/>
      <family val="0"/>
    </font>
    <font>
      <b/>
      <sz val="9"/>
      <color indexed="8"/>
      <name val="Arial"/>
      <family val="0"/>
    </font>
    <font>
      <sz val="7.05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Baskerville Old Face"/>
      <family val="0"/>
    </font>
    <font>
      <sz val="10"/>
      <color indexed="10"/>
      <name val="Calibri"/>
      <family val="0"/>
    </font>
    <font>
      <sz val="2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0"/>
    </font>
    <font>
      <sz val="13.95"/>
      <color indexed="8"/>
      <name val="Calibri"/>
      <family val="0"/>
    </font>
    <font>
      <sz val="29.75"/>
      <color indexed="8"/>
      <name val="Arial"/>
      <family val="0"/>
    </font>
    <font>
      <b/>
      <sz val="15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i/>
      <sz val="12"/>
      <name val="Calibri"/>
      <family val="2"/>
    </font>
    <font>
      <b/>
      <sz val="16"/>
      <color indexed="53"/>
      <name val="Arial"/>
      <family val="0"/>
    </font>
    <font>
      <sz val="21.3"/>
      <color indexed="53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Tahoma"/>
      <family val="0"/>
    </font>
    <font>
      <sz val="18"/>
      <color indexed="8"/>
      <name val="Calibri"/>
      <family val="0"/>
    </font>
    <font>
      <b/>
      <sz val="18"/>
      <color indexed="10"/>
      <name val="Arial"/>
      <family val="0"/>
    </font>
    <font>
      <b/>
      <sz val="24"/>
      <color indexed="8"/>
      <name val="Calibri"/>
      <family val="0"/>
    </font>
    <font>
      <b/>
      <sz val="18"/>
      <color indexed="8"/>
      <name val="Calibri"/>
      <family val="0"/>
    </font>
    <font>
      <b/>
      <sz val="21.5"/>
      <color indexed="10"/>
      <name val="Arial"/>
      <family val="0"/>
    </font>
    <font>
      <b/>
      <sz val="1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Horizontal">
        <bgColor rgb="FFFFC000"/>
      </patternFill>
    </fill>
    <fill>
      <patternFill patternType="lightVertical">
        <bgColor rgb="FFFFFF00"/>
      </patternFill>
    </fill>
    <fill>
      <patternFill patternType="mediumGray"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n"/>
      <top style="thin"/>
      <bottom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/>
      <bottom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thick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 style="thick"/>
      <top style="thick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 style="medium"/>
      <right/>
      <top style="thin"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ck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84" fontId="2" fillId="0" borderId="15" xfId="42" applyNumberFormat="1" applyFont="1" applyBorder="1" applyAlignment="1">
      <alignment/>
    </xf>
    <xf numFmtId="184" fontId="2" fillId="0" borderId="14" xfId="42" applyNumberFormat="1" applyFont="1" applyBorder="1" applyAlignment="1">
      <alignment/>
    </xf>
    <xf numFmtId="187" fontId="2" fillId="0" borderId="11" xfId="42" applyNumberFormat="1" applyFont="1" applyBorder="1" applyAlignment="1">
      <alignment/>
    </xf>
    <xf numFmtId="187" fontId="2" fillId="0" borderId="14" xfId="42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84" fontId="2" fillId="0" borderId="17" xfId="42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87" fontId="2" fillId="0" borderId="17" xfId="42" applyNumberFormat="1" applyFont="1" applyBorder="1" applyAlignment="1">
      <alignment/>
    </xf>
    <xf numFmtId="187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187" fontId="2" fillId="0" borderId="16" xfId="42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1" fontId="2" fillId="0" borderId="0" xfId="42" applyFont="1" applyAlignment="1">
      <alignment/>
    </xf>
    <xf numFmtId="0" fontId="2" fillId="0" borderId="27" xfId="0" applyFont="1" applyBorder="1" applyAlignment="1">
      <alignment/>
    </xf>
    <xf numFmtId="187" fontId="2" fillId="0" borderId="27" xfId="42" applyNumberFormat="1" applyFont="1" applyBorder="1" applyAlignment="1">
      <alignment/>
    </xf>
    <xf numFmtId="184" fontId="2" fillId="0" borderId="11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42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84" fontId="2" fillId="0" borderId="11" xfId="42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71" fontId="4" fillId="0" borderId="0" xfId="42" applyFont="1" applyBorder="1" applyAlignment="1" quotePrefix="1">
      <alignment horizontal="center"/>
    </xf>
    <xf numFmtId="171" fontId="2" fillId="0" borderId="0" xfId="42" applyFont="1" applyBorder="1" applyAlignment="1" quotePrefix="1">
      <alignment horizontal="center"/>
    </xf>
    <xf numFmtId="187" fontId="2" fillId="0" borderId="11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84" fontId="2" fillId="0" borderId="29" xfId="42" applyNumberFormat="1" applyFont="1" applyBorder="1" applyAlignment="1">
      <alignment/>
    </xf>
    <xf numFmtId="187" fontId="2" fillId="0" borderId="29" xfId="42" applyNumberFormat="1" applyFont="1" applyBorder="1" applyAlignment="1">
      <alignment/>
    </xf>
    <xf numFmtId="187" fontId="2" fillId="0" borderId="26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171" fontId="2" fillId="0" borderId="20" xfId="42" applyFont="1" applyBorder="1" applyAlignment="1">
      <alignment/>
    </xf>
    <xf numFmtId="184" fontId="2" fillId="0" borderId="0" xfId="42" applyNumberFormat="1" applyFont="1" applyBorder="1" applyAlignment="1" quotePrefix="1">
      <alignment horizontal="center"/>
    </xf>
    <xf numFmtId="184" fontId="2" fillId="0" borderId="15" xfId="42" applyNumberFormat="1" applyFont="1" applyBorder="1" applyAlignment="1" quotePrefix="1">
      <alignment horizontal="center"/>
    </xf>
    <xf numFmtId="184" fontId="2" fillId="0" borderId="15" xfId="42" applyNumberFormat="1" applyFont="1" applyBorder="1" applyAlignment="1">
      <alignment horizontal="center"/>
    </xf>
    <xf numFmtId="184" fontId="2" fillId="0" borderId="16" xfId="42" applyNumberFormat="1" applyFont="1" applyBorder="1" applyAlignment="1" quotePrefix="1">
      <alignment horizontal="center"/>
    </xf>
    <xf numFmtId="184" fontId="2" fillId="0" borderId="17" xfId="42" applyNumberFormat="1" applyFont="1" applyBorder="1" applyAlignment="1">
      <alignment horizontal="center"/>
    </xf>
    <xf numFmtId="184" fontId="0" fillId="0" borderId="0" xfId="42" applyNumberFormat="1" applyFont="1" applyAlignment="1">
      <alignment/>
    </xf>
    <xf numFmtId="187" fontId="7" fillId="0" borderId="17" xfId="42" applyNumberFormat="1" applyFont="1" applyBorder="1" applyAlignment="1">
      <alignment/>
    </xf>
    <xf numFmtId="187" fontId="2" fillId="0" borderId="26" xfId="42" applyNumberFormat="1" applyFont="1" applyBorder="1" applyAlignment="1">
      <alignment horizontal="center"/>
    </xf>
    <xf numFmtId="184" fontId="2" fillId="0" borderId="26" xfId="42" applyNumberFormat="1" applyFont="1" applyBorder="1" applyAlignment="1" quotePrefix="1">
      <alignment horizontal="center"/>
    </xf>
    <xf numFmtId="184" fontId="2" fillId="0" borderId="14" xfId="42" applyNumberFormat="1" applyFont="1" applyBorder="1" applyAlignment="1" quotePrefix="1">
      <alignment horizontal="center"/>
    </xf>
    <xf numFmtId="186" fontId="0" fillId="0" borderId="0" xfId="42" applyNumberFormat="1" applyFont="1" applyAlignment="1">
      <alignment/>
    </xf>
    <xf numFmtId="184" fontId="2" fillId="0" borderId="29" xfId="42" applyNumberFormat="1" applyFont="1" applyBorder="1" applyAlignment="1" quotePrefix="1">
      <alignment horizontal="center"/>
    </xf>
    <xf numFmtId="185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1" fontId="3" fillId="0" borderId="0" xfId="0" applyNumberFormat="1" applyFont="1" applyAlignment="1">
      <alignment/>
    </xf>
    <xf numFmtId="184" fontId="2" fillId="0" borderId="14" xfId="42" applyNumberFormat="1" applyFont="1" applyBorder="1" applyAlignment="1">
      <alignment/>
    </xf>
    <xf numFmtId="184" fontId="2" fillId="0" borderId="11" xfId="42" applyNumberFormat="1" applyFont="1" applyBorder="1" applyAlignment="1">
      <alignment/>
    </xf>
    <xf numFmtId="171" fontId="2" fillId="0" borderId="0" xfId="42" applyNumberFormat="1" applyFont="1" applyBorder="1" applyAlignment="1" quotePrefix="1">
      <alignment horizontal="center"/>
    </xf>
    <xf numFmtId="171" fontId="2" fillId="0" borderId="0" xfId="42" applyNumberFormat="1" applyFont="1" applyBorder="1" applyAlignment="1">
      <alignment horizontal="center"/>
    </xf>
    <xf numFmtId="171" fontId="2" fillId="0" borderId="0" xfId="42" applyNumberFormat="1" applyFont="1" applyBorder="1" applyAlignment="1">
      <alignment horizontal="left"/>
    </xf>
    <xf numFmtId="171" fontId="2" fillId="0" borderId="0" xfId="42" applyNumberFormat="1" applyFont="1" applyBorder="1" applyAlignment="1" quotePrefix="1">
      <alignment horizontal="left"/>
    </xf>
    <xf numFmtId="184" fontId="2" fillId="0" borderId="0" xfId="42" applyNumberFormat="1" applyFont="1" applyBorder="1" applyAlignment="1">
      <alignment horizontal="left"/>
    </xf>
    <xf numFmtId="186" fontId="2" fillId="0" borderId="0" xfId="42" applyNumberFormat="1" applyFont="1" applyBorder="1" applyAlignment="1" quotePrefix="1">
      <alignment horizontal="center"/>
    </xf>
    <xf numFmtId="187" fontId="2" fillId="0" borderId="0" xfId="42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186" fontId="2" fillId="0" borderId="0" xfId="42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184" fontId="2" fillId="0" borderId="31" xfId="42" applyNumberFormat="1" applyFont="1" applyBorder="1" applyAlignment="1" quotePrefix="1">
      <alignment horizontal="center"/>
    </xf>
    <xf numFmtId="184" fontId="2" fillId="0" borderId="0" xfId="0" applyNumberFormat="1" applyFont="1" applyAlignment="1">
      <alignment/>
    </xf>
    <xf numFmtId="171" fontId="2" fillId="33" borderId="0" xfId="42" applyNumberFormat="1" applyFont="1" applyFill="1" applyBorder="1" applyAlignment="1" quotePrefix="1">
      <alignment horizontal="center"/>
    </xf>
    <xf numFmtId="171" fontId="2" fillId="34" borderId="0" xfId="42" applyNumberFormat="1" applyFont="1" applyFill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171" fontId="4" fillId="0" borderId="33" xfId="42" applyFont="1" applyBorder="1" applyAlignment="1" quotePrefix="1">
      <alignment horizontal="center"/>
    </xf>
    <xf numFmtId="171" fontId="2" fillId="0" borderId="33" xfId="42" applyNumberFormat="1" applyFont="1" applyBorder="1" applyAlignment="1" quotePrefix="1">
      <alignment horizontal="center"/>
    </xf>
    <xf numFmtId="184" fontId="2" fillId="0" borderId="33" xfId="42" applyNumberFormat="1" applyFont="1" applyBorder="1" applyAlignment="1" quotePrefix="1">
      <alignment horizontal="center"/>
    </xf>
    <xf numFmtId="184" fontId="2" fillId="35" borderId="33" xfId="42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71" fontId="4" fillId="0" borderId="11" xfId="42" applyFont="1" applyBorder="1" applyAlignment="1" quotePrefix="1">
      <alignment horizontal="center"/>
    </xf>
    <xf numFmtId="171" fontId="2" fillId="0" borderId="11" xfId="42" applyNumberFormat="1" applyFont="1" applyBorder="1" applyAlignment="1" quotePrefix="1">
      <alignment horizontal="center"/>
    </xf>
    <xf numFmtId="171" fontId="2" fillId="35" borderId="11" xfId="42" applyNumberFormat="1" applyFont="1" applyFill="1" applyBorder="1" applyAlignment="1" quotePrefix="1">
      <alignment horizontal="center"/>
    </xf>
    <xf numFmtId="171" fontId="2" fillId="34" borderId="11" xfId="42" applyNumberFormat="1" applyFont="1" applyFill="1" applyBorder="1" applyAlignment="1" quotePrefix="1">
      <alignment horizontal="center"/>
    </xf>
    <xf numFmtId="171" fontId="2" fillId="0" borderId="11" xfId="42" applyNumberFormat="1" applyFont="1" applyBorder="1" applyAlignment="1">
      <alignment horizontal="center"/>
    </xf>
    <xf numFmtId="171" fontId="2" fillId="0" borderId="11" xfId="0" applyNumberFormat="1" applyFont="1" applyBorder="1" applyAlignment="1">
      <alignment/>
    </xf>
    <xf numFmtId="0" fontId="16" fillId="36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171" fontId="2" fillId="0" borderId="0" xfId="0" applyNumberFormat="1" applyFont="1" applyBorder="1" applyAlignment="1">
      <alignment/>
    </xf>
    <xf numFmtId="187" fontId="0" fillId="0" borderId="0" xfId="42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0" fontId="3" fillId="37" borderId="36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3" fillId="41" borderId="42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9" borderId="44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/>
    </xf>
    <xf numFmtId="0" fontId="3" fillId="42" borderId="47" xfId="0" applyFont="1" applyFill="1" applyBorder="1" applyAlignment="1">
      <alignment horizontal="center"/>
    </xf>
    <xf numFmtId="0" fontId="3" fillId="42" borderId="48" xfId="0" applyFont="1" applyFill="1" applyBorder="1" applyAlignment="1">
      <alignment horizontal="center"/>
    </xf>
    <xf numFmtId="0" fontId="3" fillId="42" borderId="49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1" fontId="3" fillId="0" borderId="0" xfId="42" applyFont="1" applyBorder="1" applyAlignment="1">
      <alignment/>
    </xf>
    <xf numFmtId="171" fontId="2" fillId="0" borderId="0" xfId="42" applyFont="1" applyBorder="1" applyAlignment="1">
      <alignment/>
    </xf>
    <xf numFmtId="184" fontId="2" fillId="0" borderId="0" xfId="42" applyNumberFormat="1" applyFont="1" applyBorder="1" applyAlignment="1">
      <alignment horizontal="center"/>
    </xf>
    <xf numFmtId="171" fontId="2" fillId="0" borderId="0" xfId="42" applyFont="1" applyBorder="1" applyAlignment="1" quotePrefix="1">
      <alignment horizontal="right"/>
    </xf>
    <xf numFmtId="171" fontId="2" fillId="0" borderId="0" xfId="42" applyFont="1" applyBorder="1" applyAlignment="1" quotePrefix="1">
      <alignment/>
    </xf>
    <xf numFmtId="171" fontId="2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84" fontId="6" fillId="0" borderId="0" xfId="42" applyNumberFormat="1" applyFont="1" applyAlignment="1">
      <alignment/>
    </xf>
    <xf numFmtId="0" fontId="6" fillId="0" borderId="0" xfId="0" applyFont="1" applyAlignment="1">
      <alignment/>
    </xf>
    <xf numFmtId="184" fontId="3" fillId="0" borderId="0" xfId="42" applyNumberFormat="1" applyFont="1" applyAlignment="1">
      <alignment/>
    </xf>
    <xf numFmtId="184" fontId="3" fillId="0" borderId="51" xfId="42" applyNumberFormat="1" applyFont="1" applyBorder="1" applyAlignment="1">
      <alignment/>
    </xf>
    <xf numFmtId="0" fontId="2" fillId="43" borderId="0" xfId="0" applyFont="1" applyFill="1" applyAlignment="1">
      <alignment/>
    </xf>
    <xf numFmtId="171" fontId="5" fillId="0" borderId="52" xfId="42" applyFont="1" applyBorder="1" applyAlignment="1">
      <alignment/>
    </xf>
    <xf numFmtId="171" fontId="4" fillId="0" borderId="53" xfId="42" applyFont="1" applyBorder="1" applyAlignment="1">
      <alignment/>
    </xf>
    <xf numFmtId="171" fontId="3" fillId="0" borderId="53" xfId="42" applyNumberFormat="1" applyFont="1" applyBorder="1" applyAlignment="1">
      <alignment/>
    </xf>
    <xf numFmtId="171" fontId="5" fillId="44" borderId="51" xfId="42" applyFont="1" applyFill="1" applyBorder="1" applyAlignment="1">
      <alignment/>
    </xf>
    <xf numFmtId="0" fontId="3" fillId="45" borderId="51" xfId="0" applyFont="1" applyFill="1" applyBorder="1" applyAlignment="1">
      <alignment/>
    </xf>
    <xf numFmtId="0" fontId="19" fillId="46" borderId="51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84" fontId="2" fillId="0" borderId="15" xfId="42" applyNumberFormat="1" applyFont="1" applyBorder="1" applyAlignment="1" quotePrefix="1">
      <alignment/>
    </xf>
    <xf numFmtId="171" fontId="5" fillId="0" borderId="54" xfId="42" applyFont="1" applyBorder="1" applyAlignment="1">
      <alignment/>
    </xf>
    <xf numFmtId="171" fontId="5" fillId="0" borderId="55" xfId="42" applyFont="1" applyBorder="1" applyAlignment="1">
      <alignment/>
    </xf>
    <xf numFmtId="171" fontId="5" fillId="0" borderId="56" xfId="42" applyNumberFormat="1" applyFont="1" applyBorder="1" applyAlignment="1" quotePrefix="1">
      <alignment horizontal="center"/>
    </xf>
    <xf numFmtId="171" fontId="5" fillId="0" borderId="56" xfId="42" applyFont="1" applyBorder="1" applyAlignment="1">
      <alignment/>
    </xf>
    <xf numFmtId="171" fontId="5" fillId="0" borderId="57" xfId="42" applyFont="1" applyBorder="1" applyAlignment="1">
      <alignment/>
    </xf>
    <xf numFmtId="184" fontId="16" fillId="0" borderId="56" xfId="42" applyNumberFormat="1" applyFont="1" applyBorder="1" applyAlignment="1">
      <alignment horizontal="center"/>
    </xf>
    <xf numFmtId="171" fontId="4" fillId="0" borderId="52" xfId="42" applyNumberFormat="1" applyFont="1" applyBorder="1" applyAlignment="1">
      <alignment horizontal="center"/>
    </xf>
    <xf numFmtId="171" fontId="4" fillId="0" borderId="52" xfId="42" applyFont="1" applyBorder="1" applyAlignment="1">
      <alignment/>
    </xf>
    <xf numFmtId="171" fontId="5" fillId="0" borderId="52" xfId="42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71" fontId="9" fillId="0" borderId="0" xfId="42" applyFont="1" applyBorder="1" applyAlignment="1">
      <alignment/>
    </xf>
    <xf numFmtId="171" fontId="2" fillId="0" borderId="52" xfId="42" applyFont="1" applyBorder="1" applyAlignment="1">
      <alignment/>
    </xf>
    <xf numFmtId="171" fontId="2" fillId="0" borderId="58" xfId="42" applyFont="1" applyBorder="1" applyAlignment="1">
      <alignment/>
    </xf>
    <xf numFmtId="171" fontId="2" fillId="0" borderId="58" xfId="42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171" fontId="2" fillId="0" borderId="0" xfId="42" applyFont="1" applyAlignment="1">
      <alignment/>
    </xf>
    <xf numFmtId="186" fontId="2" fillId="0" borderId="0" xfId="42" applyNumberFormat="1" applyFont="1" applyAlignment="1">
      <alignment/>
    </xf>
    <xf numFmtId="187" fontId="2" fillId="0" borderId="0" xfId="42" applyNumberFormat="1" applyFont="1" applyAlignment="1">
      <alignment/>
    </xf>
    <xf numFmtId="187" fontId="18" fillId="0" borderId="0" xfId="42" applyNumberFormat="1" applyFont="1" applyAlignment="1">
      <alignment/>
    </xf>
    <xf numFmtId="187" fontId="2" fillId="0" borderId="0" xfId="0" applyNumberFormat="1" applyFont="1" applyAlignment="1">
      <alignment/>
    </xf>
    <xf numFmtId="187" fontId="2" fillId="0" borderId="0" xfId="42" applyNumberFormat="1" applyFont="1" applyAlignment="1">
      <alignment/>
    </xf>
    <xf numFmtId="184" fontId="2" fillId="34" borderId="0" xfId="42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184" fontId="2" fillId="0" borderId="0" xfId="42" applyNumberFormat="1" applyFont="1" applyBorder="1" applyAlignment="1">
      <alignment/>
    </xf>
    <xf numFmtId="171" fontId="3" fillId="0" borderId="0" xfId="42" applyNumberFormat="1" applyFont="1" applyBorder="1" applyAlignment="1">
      <alignment/>
    </xf>
    <xf numFmtId="184" fontId="23" fillId="34" borderId="33" xfId="42" applyNumberFormat="1" applyFont="1" applyFill="1" applyBorder="1" applyAlignment="1" quotePrefix="1">
      <alignment horizontal="center"/>
    </xf>
    <xf numFmtId="171" fontId="23" fillId="34" borderId="11" xfId="42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4" fillId="38" borderId="59" xfId="0" applyFont="1" applyFill="1" applyBorder="1" applyAlignment="1">
      <alignment horizontal="center"/>
    </xf>
    <xf numFmtId="0" fontId="24" fillId="37" borderId="59" xfId="0" applyFont="1" applyFill="1" applyBorder="1" applyAlignment="1">
      <alignment horizontal="center"/>
    </xf>
    <xf numFmtId="0" fontId="24" fillId="40" borderId="59" xfId="0" applyFont="1" applyFill="1" applyBorder="1" applyAlignment="1">
      <alignment horizontal="center"/>
    </xf>
    <xf numFmtId="0" fontId="24" fillId="41" borderId="60" xfId="0" applyFont="1" applyFill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9" borderId="16" xfId="0" applyFont="1" applyFill="1" applyBorder="1" applyAlignment="1">
      <alignment horizontal="center"/>
    </xf>
    <xf numFmtId="0" fontId="24" fillId="40" borderId="16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4" fillId="37" borderId="15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9" borderId="15" xfId="0" applyFont="1" applyFill="1" applyBorder="1" applyAlignment="1">
      <alignment horizontal="center"/>
    </xf>
    <xf numFmtId="0" fontId="24" fillId="40" borderId="15" xfId="0" applyFont="1" applyFill="1" applyBorder="1" applyAlignment="1">
      <alignment horizontal="center"/>
    </xf>
    <xf numFmtId="0" fontId="24" fillId="42" borderId="61" xfId="0" applyFont="1" applyFill="1" applyBorder="1" applyAlignment="1">
      <alignment horizontal="center"/>
    </xf>
    <xf numFmtId="0" fontId="24" fillId="42" borderId="62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center"/>
    </xf>
    <xf numFmtId="0" fontId="24" fillId="42" borderId="56" xfId="0" applyFont="1" applyFill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98" fillId="0" borderId="11" xfId="0" applyFont="1" applyBorder="1" applyAlignment="1">
      <alignment/>
    </xf>
    <xf numFmtId="184" fontId="26" fillId="0" borderId="11" xfId="42" applyNumberFormat="1" applyFont="1" applyBorder="1" applyAlignment="1">
      <alignment horizontal="left"/>
    </xf>
    <xf numFmtId="171" fontId="26" fillId="0" borderId="11" xfId="42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11" xfId="0" applyFont="1" applyBorder="1" applyAlignment="1">
      <alignment/>
    </xf>
    <xf numFmtId="184" fontId="26" fillId="34" borderId="11" xfId="42" applyNumberFormat="1" applyFont="1" applyFill="1" applyBorder="1" applyAlignment="1">
      <alignment horizontal="left"/>
    </xf>
    <xf numFmtId="0" fontId="26" fillId="47" borderId="11" xfId="0" applyFont="1" applyFill="1" applyBorder="1" applyAlignment="1">
      <alignment/>
    </xf>
    <xf numFmtId="0" fontId="26" fillId="48" borderId="11" xfId="0" applyFont="1" applyFill="1" applyBorder="1" applyAlignment="1">
      <alignment/>
    </xf>
    <xf numFmtId="0" fontId="26" fillId="0" borderId="63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184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184" fontId="26" fillId="0" borderId="11" xfId="42" applyNumberFormat="1" applyFont="1" applyBorder="1" applyAlignment="1">
      <alignment/>
    </xf>
    <xf numFmtId="185" fontId="26" fillId="0" borderId="11" xfId="0" applyNumberFormat="1" applyFont="1" applyBorder="1" applyAlignment="1">
      <alignment horizontal="center"/>
    </xf>
    <xf numFmtId="171" fontId="26" fillId="0" borderId="11" xfId="42" applyFont="1" applyBorder="1" applyAlignment="1" quotePrefix="1">
      <alignment horizontal="center"/>
    </xf>
    <xf numFmtId="184" fontId="26" fillId="0" borderId="11" xfId="42" applyNumberFormat="1" applyFont="1" applyBorder="1" applyAlignment="1" quotePrefix="1">
      <alignment horizontal="center"/>
    </xf>
    <xf numFmtId="171" fontId="26" fillId="0" borderId="56" xfId="42" applyFont="1" applyBorder="1" applyAlignment="1" quotePrefix="1">
      <alignment horizontal="center"/>
    </xf>
    <xf numFmtId="184" fontId="26" fillId="0" borderId="0" xfId="0" applyNumberFormat="1" applyFont="1" applyBorder="1" applyAlignment="1">
      <alignment horizontal="center" vertical="center"/>
    </xf>
    <xf numFmtId="184" fontId="26" fillId="0" borderId="11" xfId="42" applyNumberFormat="1" applyFont="1" applyBorder="1" applyAlignment="1">
      <alignment horizontal="center"/>
    </xf>
    <xf numFmtId="184" fontId="26" fillId="0" borderId="11" xfId="42" applyNumberFormat="1" applyFont="1" applyBorder="1" applyAlignment="1">
      <alignment horizontal="center" vertical="center"/>
    </xf>
    <xf numFmtId="0" fontId="26" fillId="0" borderId="64" xfId="0" applyFont="1" applyBorder="1" applyAlignment="1">
      <alignment horizontal="center"/>
    </xf>
    <xf numFmtId="184" fontId="26" fillId="0" borderId="14" xfId="42" applyNumberFormat="1" applyFont="1" applyBorder="1" applyAlignment="1">
      <alignment/>
    </xf>
    <xf numFmtId="0" fontId="24" fillId="0" borderId="30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184" fontId="26" fillId="0" borderId="65" xfId="42" applyNumberFormat="1" applyFont="1" applyBorder="1" applyAlignment="1">
      <alignment/>
    </xf>
    <xf numFmtId="0" fontId="26" fillId="0" borderId="6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184" fontId="26" fillId="0" borderId="14" xfId="42" applyNumberFormat="1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171" fontId="26" fillId="0" borderId="68" xfId="42" applyFont="1" applyBorder="1" applyAlignment="1">
      <alignment/>
    </xf>
    <xf numFmtId="184" fontId="24" fillId="0" borderId="26" xfId="42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/>
    </xf>
    <xf numFmtId="171" fontId="26" fillId="0" borderId="0" xfId="42" applyFont="1" applyAlignment="1">
      <alignment/>
    </xf>
    <xf numFmtId="171" fontId="26" fillId="0" borderId="0" xfId="42" applyFont="1" applyBorder="1" applyAlignment="1">
      <alignment/>
    </xf>
    <xf numFmtId="190" fontId="26" fillId="0" borderId="56" xfId="42" applyNumberFormat="1" applyFont="1" applyFill="1" applyBorder="1" applyAlignment="1" applyProtection="1">
      <alignment horizontal="center"/>
      <protection/>
    </xf>
    <xf numFmtId="171" fontId="26" fillId="0" borderId="69" xfId="42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65" fillId="0" borderId="0" xfId="0" applyFont="1" applyAlignment="1">
      <alignment horizontal="right"/>
    </xf>
    <xf numFmtId="0" fontId="24" fillId="42" borderId="64" xfId="0" applyFont="1" applyFill="1" applyBorder="1" applyAlignment="1">
      <alignment horizontal="center"/>
    </xf>
    <xf numFmtId="0" fontId="24" fillId="42" borderId="14" xfId="0" applyFont="1" applyFill="1" applyBorder="1" applyAlignment="1">
      <alignment horizontal="center"/>
    </xf>
    <xf numFmtId="0" fontId="24" fillId="42" borderId="70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184" fontId="26" fillId="0" borderId="15" xfId="42" applyNumberFormat="1" applyFont="1" applyBorder="1" applyAlignment="1">
      <alignment horizontal="center"/>
    </xf>
    <xf numFmtId="190" fontId="26" fillId="0" borderId="55" xfId="42" applyNumberFormat="1" applyFont="1" applyFill="1" applyBorder="1" applyAlignment="1" applyProtection="1">
      <alignment horizontal="center"/>
      <protection/>
    </xf>
    <xf numFmtId="0" fontId="24" fillId="0" borderId="65" xfId="0" applyFont="1" applyBorder="1" applyAlignment="1">
      <alignment horizontal="center" vertical="center"/>
    </xf>
    <xf numFmtId="0" fontId="26" fillId="49" borderId="11" xfId="0" applyFont="1" applyFill="1" applyBorder="1" applyAlignment="1">
      <alignment/>
    </xf>
    <xf numFmtId="187" fontId="24" fillId="0" borderId="26" xfId="42" applyNumberFormat="1" applyFont="1" applyBorder="1" applyAlignment="1">
      <alignment/>
    </xf>
    <xf numFmtId="184" fontId="26" fillId="0" borderId="26" xfId="42" applyNumberFormat="1" applyFont="1" applyBorder="1" applyAlignment="1">
      <alignment/>
    </xf>
    <xf numFmtId="0" fontId="26" fillId="0" borderId="69" xfId="0" applyFont="1" applyBorder="1" applyAlignment="1">
      <alignment horizontal="center"/>
    </xf>
    <xf numFmtId="187" fontId="24" fillId="0" borderId="14" xfId="42" applyNumberFormat="1" applyFont="1" applyBorder="1" applyAlignment="1">
      <alignment horizontal="left"/>
    </xf>
    <xf numFmtId="0" fontId="26" fillId="0" borderId="30" xfId="0" applyFont="1" applyBorder="1" applyAlignment="1">
      <alignment horizontal="center"/>
    </xf>
    <xf numFmtId="187" fontId="24" fillId="0" borderId="65" xfId="42" applyNumberFormat="1" applyFont="1" applyBorder="1" applyAlignment="1">
      <alignment horizontal="left"/>
    </xf>
    <xf numFmtId="190" fontId="24" fillId="0" borderId="0" xfId="42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" fontId="24" fillId="0" borderId="0" xfId="43" applyNumberFormat="1" applyFont="1" applyFill="1" applyBorder="1" applyAlignment="1" quotePrefix="1">
      <alignment horizontal="right"/>
    </xf>
    <xf numFmtId="171" fontId="26" fillId="0" borderId="0" xfId="42" applyFont="1" applyFill="1" applyBorder="1" applyAlignment="1">
      <alignment/>
    </xf>
    <xf numFmtId="171" fontId="24" fillId="0" borderId="0" xfId="42" applyFont="1" applyFill="1" applyBorder="1" applyAlignment="1">
      <alignment horizontal="center" vertical="center"/>
    </xf>
    <xf numFmtId="171" fontId="24" fillId="0" borderId="0" xfId="42" applyFont="1" applyFill="1" applyBorder="1" applyAlignment="1">
      <alignment horizontal="center"/>
    </xf>
    <xf numFmtId="171" fontId="3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Alignment="1">
      <alignment/>
    </xf>
    <xf numFmtId="171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88" fontId="26" fillId="0" borderId="15" xfId="42" applyNumberFormat="1" applyFont="1" applyBorder="1" applyAlignment="1">
      <alignment horizontal="center" vertical="center"/>
    </xf>
    <xf numFmtId="188" fontId="26" fillId="0" borderId="55" xfId="0" applyNumberFormat="1" applyFont="1" applyBorder="1" applyAlignment="1">
      <alignment horizontal="center" vertical="center"/>
    </xf>
    <xf numFmtId="188" fontId="26" fillId="0" borderId="11" xfId="42" applyNumberFormat="1" applyFont="1" applyBorder="1" applyAlignment="1">
      <alignment horizontal="center" vertical="center"/>
    </xf>
    <xf numFmtId="188" fontId="26" fillId="0" borderId="26" xfId="0" applyNumberFormat="1" applyFont="1" applyBorder="1" applyAlignment="1">
      <alignment horizontal="center" vertical="center"/>
    </xf>
    <xf numFmtId="188" fontId="26" fillId="0" borderId="71" xfId="0" applyNumberFormat="1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6" fillId="0" borderId="60" xfId="0" applyFont="1" applyBorder="1" applyAlignment="1">
      <alignment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171" fontId="26" fillId="0" borderId="26" xfId="42" applyFont="1" applyBorder="1" applyAlignment="1">
      <alignment/>
    </xf>
    <xf numFmtId="0" fontId="26" fillId="0" borderId="59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66" fillId="0" borderId="60" xfId="0" applyFont="1" applyBorder="1" applyAlignment="1">
      <alignment/>
    </xf>
    <xf numFmtId="0" fontId="26" fillId="0" borderId="72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0" borderId="65" xfId="0" applyFont="1" applyBorder="1" applyAlignment="1">
      <alignment horizontal="center" vertical="center"/>
    </xf>
    <xf numFmtId="190" fontId="26" fillId="0" borderId="11" xfId="42" applyNumberFormat="1" applyFont="1" applyBorder="1" applyAlignment="1">
      <alignment/>
    </xf>
    <xf numFmtId="190" fontId="26" fillId="0" borderId="11" xfId="42" applyNumberFormat="1" applyFont="1" applyFill="1" applyBorder="1" applyAlignment="1" applyProtection="1">
      <alignment horizontal="center"/>
      <protection/>
    </xf>
    <xf numFmtId="190" fontId="26" fillId="0" borderId="70" xfId="42" applyNumberFormat="1" applyFont="1" applyBorder="1" applyAlignment="1">
      <alignment horizontal="center"/>
    </xf>
    <xf numFmtId="190" fontId="26" fillId="0" borderId="65" xfId="42" applyNumberFormat="1" applyFont="1" applyBorder="1" applyAlignment="1">
      <alignment/>
    </xf>
    <xf numFmtId="190" fontId="26" fillId="0" borderId="65" xfId="0" applyNumberFormat="1" applyFont="1" applyFill="1" applyBorder="1" applyAlignment="1">
      <alignment horizontal="center"/>
    </xf>
    <xf numFmtId="190" fontId="26" fillId="0" borderId="69" xfId="42" applyNumberFormat="1" applyFont="1" applyBorder="1" applyAlignment="1">
      <alignment horizontal="center"/>
    </xf>
    <xf numFmtId="190" fontId="26" fillId="0" borderId="55" xfId="42" applyNumberFormat="1" applyFont="1" applyBorder="1" applyAlignment="1">
      <alignment horizontal="center"/>
    </xf>
    <xf numFmtId="190" fontId="26" fillId="0" borderId="11" xfId="42" applyNumberFormat="1" applyFont="1" applyFill="1" applyBorder="1" applyAlignment="1" quotePrefix="1">
      <alignment horizontal="center"/>
    </xf>
    <xf numFmtId="190" fontId="26" fillId="0" borderId="11" xfId="42" applyNumberFormat="1" applyFont="1" applyBorder="1" applyAlignment="1">
      <alignment horizontal="center"/>
    </xf>
    <xf numFmtId="190" fontId="26" fillId="0" borderId="11" xfId="42" applyNumberFormat="1" applyFont="1" applyBorder="1" applyAlignment="1" quotePrefix="1">
      <alignment horizontal="center"/>
    </xf>
    <xf numFmtId="190" fontId="26" fillId="0" borderId="56" xfId="42" applyNumberFormat="1" applyFont="1" applyBorder="1" applyAlignment="1">
      <alignment horizontal="center"/>
    </xf>
    <xf numFmtId="190" fontId="26" fillId="0" borderId="11" xfId="42" applyNumberFormat="1" applyFont="1" applyFill="1" applyBorder="1" applyAlignment="1">
      <alignment horizontal="center"/>
    </xf>
    <xf numFmtId="190" fontId="26" fillId="0" borderId="68" xfId="42" applyNumberFormat="1" applyFont="1" applyBorder="1" applyAlignment="1">
      <alignment/>
    </xf>
    <xf numFmtId="190" fontId="26" fillId="0" borderId="68" xfId="42" applyNumberFormat="1" applyFont="1" applyFill="1" applyBorder="1" applyAlignment="1">
      <alignment/>
    </xf>
    <xf numFmtId="190" fontId="26" fillId="0" borderId="74" xfId="42" applyNumberFormat="1" applyFont="1" applyBorder="1" applyAlignment="1">
      <alignment horizontal="center"/>
    </xf>
    <xf numFmtId="190" fontId="26" fillId="0" borderId="11" xfId="42" applyNumberFormat="1" applyFont="1" applyFill="1" applyBorder="1" applyAlignment="1">
      <alignment/>
    </xf>
    <xf numFmtId="190" fontId="24" fillId="0" borderId="26" xfId="42" applyNumberFormat="1" applyFont="1" applyBorder="1" applyAlignment="1">
      <alignment horizontal="center" vertical="center"/>
    </xf>
    <xf numFmtId="190" fontId="24" fillId="0" borderId="26" xfId="42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190" fontId="26" fillId="0" borderId="26" xfId="42" applyNumberFormat="1" applyFont="1" applyBorder="1" applyAlignment="1">
      <alignment/>
    </xf>
    <xf numFmtId="191" fontId="26" fillId="0" borderId="0" xfId="0" applyNumberFormat="1" applyFont="1" applyAlignment="1">
      <alignment/>
    </xf>
    <xf numFmtId="191" fontId="24" fillId="37" borderId="59" xfId="0" applyNumberFormat="1" applyFont="1" applyFill="1" applyBorder="1" applyAlignment="1">
      <alignment horizontal="center"/>
    </xf>
    <xf numFmtId="191" fontId="24" fillId="37" borderId="16" xfId="0" applyNumberFormat="1" applyFont="1" applyFill="1" applyBorder="1" applyAlignment="1">
      <alignment horizontal="center"/>
    </xf>
    <xf numFmtId="191" fontId="24" fillId="37" borderId="15" xfId="0" applyNumberFormat="1" applyFont="1" applyFill="1" applyBorder="1" applyAlignment="1">
      <alignment horizontal="center"/>
    </xf>
    <xf numFmtId="191" fontId="24" fillId="42" borderId="11" xfId="0" applyNumberFormat="1" applyFont="1" applyFill="1" applyBorder="1" applyAlignment="1">
      <alignment horizontal="center"/>
    </xf>
    <xf numFmtId="191" fontId="26" fillId="0" borderId="11" xfId="42" applyNumberFormat="1" applyFont="1" applyBorder="1" applyAlignment="1">
      <alignment/>
    </xf>
    <xf numFmtId="191" fontId="24" fillId="0" borderId="0" xfId="42" applyNumberFormat="1" applyFont="1" applyAlignment="1">
      <alignment/>
    </xf>
    <xf numFmtId="191" fontId="24" fillId="0" borderId="0" xfId="0" applyNumberFormat="1" applyFont="1" applyAlignment="1">
      <alignment/>
    </xf>
    <xf numFmtId="191" fontId="0" fillId="0" borderId="0" xfId="0" applyNumberFormat="1" applyAlignment="1">
      <alignment/>
    </xf>
    <xf numFmtId="191" fontId="26" fillId="0" borderId="0" xfId="0" applyNumberFormat="1" applyFont="1" applyBorder="1" applyAlignment="1">
      <alignment horizontal="center" vertical="center"/>
    </xf>
    <xf numFmtId="191" fontId="24" fillId="42" borderId="14" xfId="0" applyNumberFormat="1" applyFont="1" applyFill="1" applyBorder="1" applyAlignment="1">
      <alignment horizontal="center"/>
    </xf>
    <xf numFmtId="191" fontId="26" fillId="0" borderId="65" xfId="42" applyNumberFormat="1" applyFont="1" applyBorder="1" applyAlignment="1">
      <alignment/>
    </xf>
    <xf numFmtId="191" fontId="26" fillId="0" borderId="15" xfId="42" applyNumberFormat="1" applyFont="1" applyBorder="1" applyAlignment="1">
      <alignment/>
    </xf>
    <xf numFmtId="191" fontId="26" fillId="0" borderId="14" xfId="42" applyNumberFormat="1" applyFont="1" applyBorder="1" applyAlignment="1">
      <alignment/>
    </xf>
    <xf numFmtId="191" fontId="26" fillId="0" borderId="11" xfId="43" applyNumberFormat="1" applyFont="1" applyBorder="1" applyAlignment="1">
      <alignment/>
    </xf>
    <xf numFmtId="191" fontId="26" fillId="0" borderId="68" xfId="42" applyNumberFormat="1" applyFont="1" applyBorder="1" applyAlignment="1">
      <alignment/>
    </xf>
    <xf numFmtId="191" fontId="24" fillId="0" borderId="26" xfId="42" applyNumberFormat="1" applyFont="1" applyBorder="1" applyAlignment="1">
      <alignment horizontal="center" vertical="center"/>
    </xf>
    <xf numFmtId="191" fontId="26" fillId="0" borderId="0" xfId="0" applyNumberFormat="1" applyFont="1" applyAlignment="1" quotePrefix="1">
      <alignment/>
    </xf>
    <xf numFmtId="190" fontId="24" fillId="0" borderId="70" xfId="43" applyNumberFormat="1" applyFont="1" applyBorder="1" applyAlignment="1" quotePrefix="1">
      <alignment horizontal="right"/>
    </xf>
    <xf numFmtId="190" fontId="26" fillId="0" borderId="69" xfId="42" applyNumberFormat="1" applyFont="1" applyBorder="1" applyAlignment="1">
      <alignment/>
    </xf>
    <xf numFmtId="190" fontId="26" fillId="0" borderId="11" xfId="42" applyNumberFormat="1" applyFont="1" applyFill="1" applyBorder="1" applyAlignment="1" applyProtection="1">
      <alignment/>
      <protection/>
    </xf>
    <xf numFmtId="190" fontId="26" fillId="0" borderId="26" xfId="42" applyNumberFormat="1" applyFont="1" applyBorder="1" applyAlignment="1" quotePrefix="1">
      <alignment horizontal="center"/>
    </xf>
    <xf numFmtId="190" fontId="24" fillId="0" borderId="71" xfId="42" applyNumberFormat="1" applyFont="1" applyBorder="1" applyAlignment="1">
      <alignment horizontal="center"/>
    </xf>
    <xf numFmtId="190" fontId="26" fillId="0" borderId="71" xfId="42" applyNumberFormat="1" applyFont="1" applyBorder="1" applyAlignment="1">
      <alignment horizontal="center" vertical="center"/>
    </xf>
    <xf numFmtId="191" fontId="66" fillId="0" borderId="0" xfId="0" applyNumberFormat="1" applyFont="1" applyAlignment="1">
      <alignment/>
    </xf>
    <xf numFmtId="0" fontId="99" fillId="38" borderId="59" xfId="0" applyFont="1" applyFill="1" applyBorder="1" applyAlignment="1">
      <alignment horizontal="center"/>
    </xf>
    <xf numFmtId="0" fontId="99" fillId="38" borderId="16" xfId="0" applyFont="1" applyFill="1" applyBorder="1" applyAlignment="1">
      <alignment horizontal="center"/>
    </xf>
    <xf numFmtId="0" fontId="99" fillId="38" borderId="15" xfId="0" applyFont="1" applyFill="1" applyBorder="1" applyAlignment="1">
      <alignment horizontal="center"/>
    </xf>
    <xf numFmtId="3" fontId="24" fillId="0" borderId="14" xfId="42" applyNumberFormat="1" applyFont="1" applyBorder="1" applyAlignment="1">
      <alignment/>
    </xf>
    <xf numFmtId="171" fontId="26" fillId="0" borderId="56" xfId="42" applyFont="1" applyBorder="1" applyAlignment="1">
      <alignment/>
    </xf>
    <xf numFmtId="171" fontId="26" fillId="0" borderId="71" xfId="42" applyFont="1" applyBorder="1" applyAlignment="1">
      <alignment/>
    </xf>
    <xf numFmtId="190" fontId="26" fillId="0" borderId="0" xfId="42" applyNumberFormat="1" applyFont="1" applyFill="1" applyBorder="1" applyAlignment="1" applyProtection="1">
      <alignment horizontal="center"/>
      <protection/>
    </xf>
    <xf numFmtId="171" fontId="26" fillId="0" borderId="0" xfId="42" applyFont="1" applyFill="1" applyBorder="1" applyAlignment="1">
      <alignment horizontal="center"/>
    </xf>
    <xf numFmtId="190" fontId="26" fillId="0" borderId="0" xfId="42" applyNumberFormat="1" applyFont="1" applyFill="1" applyBorder="1" applyAlignment="1">
      <alignment horizontal="center"/>
    </xf>
    <xf numFmtId="190" fontId="26" fillId="0" borderId="0" xfId="42" applyNumberFormat="1" applyFont="1" applyFill="1" applyBorder="1" applyAlignment="1">
      <alignment horizontal="center" vertical="center"/>
    </xf>
    <xf numFmtId="171" fontId="26" fillId="0" borderId="0" xfId="42" applyFont="1" applyFill="1" applyBorder="1" applyAlignment="1">
      <alignment/>
    </xf>
    <xf numFmtId="171" fontId="26" fillId="0" borderId="0" xfId="42" applyFont="1" applyFill="1" applyAlignment="1">
      <alignment/>
    </xf>
    <xf numFmtId="0" fontId="66" fillId="0" borderId="0" xfId="0" applyFont="1" applyFill="1" applyAlignment="1">
      <alignment/>
    </xf>
    <xf numFmtId="191" fontId="24" fillId="50" borderId="51" xfId="42" applyNumberFormat="1" applyFont="1" applyFill="1" applyBorder="1" applyAlignment="1">
      <alignment/>
    </xf>
    <xf numFmtId="191" fontId="24" fillId="51" borderId="51" xfId="0" applyNumberFormat="1" applyFont="1" applyFill="1" applyBorder="1" applyAlignment="1">
      <alignment/>
    </xf>
    <xf numFmtId="191" fontId="24" fillId="52" borderId="51" xfId="0" applyNumberFormat="1" applyFont="1" applyFill="1" applyBorder="1" applyAlignment="1">
      <alignment/>
    </xf>
    <xf numFmtId="191" fontId="24" fillId="53" borderId="51" xfId="0" applyNumberFormat="1" applyFont="1" applyFill="1" applyBorder="1" applyAlignment="1">
      <alignment/>
    </xf>
    <xf numFmtId="184" fontId="24" fillId="50" borderId="51" xfId="42" applyNumberFormat="1" applyFont="1" applyFill="1" applyBorder="1" applyAlignment="1">
      <alignment/>
    </xf>
    <xf numFmtId="0" fontId="24" fillId="51" borderId="51" xfId="0" applyFont="1" applyFill="1" applyBorder="1" applyAlignment="1">
      <alignment/>
    </xf>
    <xf numFmtId="0" fontId="24" fillId="52" borderId="51" xfId="0" applyFont="1" applyFill="1" applyBorder="1" applyAlignment="1">
      <alignment/>
    </xf>
    <xf numFmtId="171" fontId="24" fillId="53" borderId="51" xfId="42" applyFont="1" applyFill="1" applyBorder="1" applyAlignment="1">
      <alignment/>
    </xf>
    <xf numFmtId="0" fontId="26" fillId="0" borderId="63" xfId="0" applyFont="1" applyBorder="1" applyAlignment="1">
      <alignment horizontal="center" vertical="center"/>
    </xf>
    <xf numFmtId="0" fontId="26" fillId="0" borderId="75" xfId="0" applyFont="1" applyBorder="1" applyAlignment="1">
      <alignment vertical="center"/>
    </xf>
    <xf numFmtId="191" fontId="26" fillId="0" borderId="26" xfId="42" applyNumberFormat="1" applyFont="1" applyBorder="1" applyAlignment="1">
      <alignment vertical="center"/>
    </xf>
    <xf numFmtId="171" fontId="2" fillId="0" borderId="33" xfId="42" applyNumberFormat="1" applyFont="1" applyBorder="1" applyAlignment="1">
      <alignment horizontal="center" vertical="center"/>
    </xf>
    <xf numFmtId="171" fontId="2" fillId="0" borderId="11" xfId="42" applyNumberFormat="1" applyFont="1" applyBorder="1" applyAlignment="1">
      <alignment horizontal="center" vertical="center"/>
    </xf>
    <xf numFmtId="171" fontId="2" fillId="0" borderId="0" xfId="42" applyNumberFormat="1" applyFont="1" applyBorder="1" applyAlignment="1">
      <alignment horizontal="center" vertical="center"/>
    </xf>
    <xf numFmtId="171" fontId="2" fillId="0" borderId="0" xfId="42" applyFont="1" applyBorder="1" applyAlignment="1">
      <alignment horizontal="center" vertical="center"/>
    </xf>
    <xf numFmtId="184" fontId="2" fillId="0" borderId="0" xfId="42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190" fontId="26" fillId="0" borderId="0" xfId="42" applyNumberFormat="1" applyFont="1" applyFill="1" applyBorder="1" applyAlignment="1" applyProtection="1">
      <alignment horizontal="left"/>
      <protection/>
    </xf>
    <xf numFmtId="0" fontId="26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84" fontId="26" fillId="0" borderId="15" xfId="42" applyNumberFormat="1" applyFont="1" applyBorder="1" applyAlignment="1">
      <alignment horizontal="left"/>
    </xf>
    <xf numFmtId="3" fontId="26" fillId="0" borderId="15" xfId="42" applyNumberFormat="1" applyFont="1" applyBorder="1" applyAlignment="1">
      <alignment/>
    </xf>
    <xf numFmtId="190" fontId="26" fillId="0" borderId="55" xfId="43" applyNumberFormat="1" applyFont="1" applyBorder="1" applyAlignment="1" quotePrefix="1">
      <alignment horizontal="right"/>
    </xf>
    <xf numFmtId="187" fontId="26" fillId="0" borderId="11" xfId="42" applyNumberFormat="1" applyFont="1" applyBorder="1" applyAlignment="1">
      <alignment horizontal="left"/>
    </xf>
    <xf numFmtId="3" fontId="26" fillId="0" borderId="11" xfId="42" applyNumberFormat="1" applyFont="1" applyBorder="1" applyAlignment="1">
      <alignment/>
    </xf>
    <xf numFmtId="190" fontId="26" fillId="0" borderId="56" xfId="43" applyNumberFormat="1" applyFont="1" applyBorder="1" applyAlignment="1" quotePrefix="1">
      <alignment horizontal="right"/>
    </xf>
    <xf numFmtId="169" fontId="26" fillId="0" borderId="11" xfId="43" applyNumberFormat="1" applyFont="1" applyBorder="1" applyAlignment="1">
      <alignment horizontal="left"/>
    </xf>
    <xf numFmtId="3" fontId="26" fillId="0" borderId="11" xfId="43" applyNumberFormat="1" applyFont="1" applyBorder="1" applyAlignment="1">
      <alignment/>
    </xf>
    <xf numFmtId="189" fontId="26" fillId="0" borderId="11" xfId="43" applyNumberFormat="1" applyFont="1" applyBorder="1" applyAlignment="1">
      <alignment horizontal="left"/>
    </xf>
    <xf numFmtId="187" fontId="26" fillId="0" borderId="15" xfId="42" applyNumberFormat="1" applyFont="1" applyBorder="1" applyAlignment="1">
      <alignment horizontal="left"/>
    </xf>
    <xf numFmtId="187" fontId="26" fillId="0" borderId="15" xfId="42" applyNumberFormat="1" applyFont="1" applyBorder="1" applyAlignment="1">
      <alignment/>
    </xf>
    <xf numFmtId="190" fontId="26" fillId="0" borderId="55" xfId="42" applyNumberFormat="1" applyFont="1" applyBorder="1" applyAlignment="1">
      <alignment horizontal="center" vertical="center"/>
    </xf>
    <xf numFmtId="187" fontId="26" fillId="0" borderId="11" xfId="42" applyNumberFormat="1" applyFont="1" applyBorder="1" applyAlignment="1">
      <alignment/>
    </xf>
    <xf numFmtId="190" fontId="26" fillId="0" borderId="56" xfId="42" applyNumberFormat="1" applyFont="1" applyBorder="1" applyAlignment="1">
      <alignment horizontal="center" vertical="center"/>
    </xf>
    <xf numFmtId="187" fontId="26" fillId="0" borderId="14" xfId="42" applyNumberFormat="1" applyFont="1" applyBorder="1" applyAlignment="1">
      <alignment horizontal="left"/>
    </xf>
    <xf numFmtId="190" fontId="26" fillId="0" borderId="70" xfId="42" applyNumberFormat="1" applyFont="1" applyBorder="1" applyAlignment="1">
      <alignment horizontal="center" vertical="center"/>
    </xf>
    <xf numFmtId="0" fontId="0" fillId="0" borderId="0" xfId="0" applyFont="1" applyAlignment="1" quotePrefix="1">
      <alignment horizontal="right"/>
    </xf>
    <xf numFmtId="0" fontId="69" fillId="0" borderId="0" xfId="0" applyFont="1" applyAlignment="1">
      <alignment/>
    </xf>
    <xf numFmtId="190" fontId="26" fillId="0" borderId="0" xfId="42" applyNumberFormat="1" applyFont="1" applyFill="1" applyBorder="1" applyAlignment="1">
      <alignment horizontal="left"/>
    </xf>
    <xf numFmtId="190" fontId="26" fillId="54" borderId="15" xfId="42" applyNumberFormat="1" applyFont="1" applyFill="1" applyBorder="1" applyAlignment="1" quotePrefix="1">
      <alignment horizontal="center"/>
    </xf>
    <xf numFmtId="190" fontId="26" fillId="54" borderId="11" xfId="42" applyNumberFormat="1" applyFont="1" applyFill="1" applyBorder="1" applyAlignment="1" quotePrefix="1">
      <alignment horizontal="center"/>
    </xf>
    <xf numFmtId="0" fontId="24" fillId="0" borderId="26" xfId="0" applyFont="1" applyBorder="1" applyAlignment="1">
      <alignment horizontal="center" vertical="center"/>
    </xf>
    <xf numFmtId="190" fontId="26" fillId="49" borderId="14" xfId="42" applyNumberFormat="1" applyFont="1" applyFill="1" applyBorder="1" applyAlignment="1">
      <alignment/>
    </xf>
    <xf numFmtId="187" fontId="26" fillId="0" borderId="68" xfId="42" applyNumberFormat="1" applyFont="1" applyBorder="1" applyAlignment="1">
      <alignment/>
    </xf>
    <xf numFmtId="190" fontId="26" fillId="49" borderId="26" xfId="42" applyNumberFormat="1" applyFont="1" applyFill="1" applyBorder="1" applyAlignment="1">
      <alignment vertical="center"/>
    </xf>
    <xf numFmtId="190" fontId="26" fillId="49" borderId="26" xfId="42" applyNumberFormat="1" applyFont="1" applyFill="1" applyBorder="1" applyAlignment="1" quotePrefix="1">
      <alignment horizontal="center"/>
    </xf>
    <xf numFmtId="190" fontId="26" fillId="49" borderId="15" xfId="43" applyNumberFormat="1" applyFont="1" applyFill="1" applyBorder="1" applyAlignment="1">
      <alignment horizontal="right"/>
    </xf>
    <xf numFmtId="190" fontId="26" fillId="49" borderId="65" xfId="42" applyNumberFormat="1" applyFont="1" applyFill="1" applyBorder="1" applyAlignment="1">
      <alignment horizontal="center"/>
    </xf>
    <xf numFmtId="190" fontId="26" fillId="49" borderId="65" xfId="42" applyNumberFormat="1" applyFont="1" applyFill="1" applyBorder="1" applyAlignment="1">
      <alignment/>
    </xf>
    <xf numFmtId="190" fontId="26" fillId="49" borderId="11" xfId="42" applyNumberFormat="1" applyFont="1" applyFill="1" applyBorder="1" applyAlignment="1" quotePrefix="1">
      <alignment horizontal="center"/>
    </xf>
    <xf numFmtId="190" fontId="26" fillId="49" borderId="11" xfId="42" applyNumberFormat="1" applyFont="1" applyFill="1" applyBorder="1" applyAlignment="1">
      <alignment horizontal="center"/>
    </xf>
    <xf numFmtId="190" fontId="26" fillId="49" borderId="15" xfId="42" applyNumberFormat="1" applyFont="1" applyFill="1" applyBorder="1" applyAlignment="1" quotePrefix="1">
      <alignment horizontal="center"/>
    </xf>
    <xf numFmtId="190" fontId="26" fillId="49" borderId="15" xfId="42" applyNumberFormat="1" applyFont="1" applyFill="1" applyBorder="1" applyAlignment="1" applyProtection="1">
      <alignment horizontal="center"/>
      <protection/>
    </xf>
    <xf numFmtId="190" fontId="26" fillId="49" borderId="11" xfId="42" applyNumberFormat="1" applyFont="1" applyFill="1" applyBorder="1" applyAlignment="1" applyProtection="1">
      <alignment/>
      <protection/>
    </xf>
    <xf numFmtId="190" fontId="26" fillId="49" borderId="11" xfId="42" applyNumberFormat="1" applyFont="1" applyFill="1" applyBorder="1" applyAlignment="1" applyProtection="1">
      <alignment horizontal="center"/>
      <protection/>
    </xf>
    <xf numFmtId="190" fontId="26" fillId="49" borderId="11" xfId="42" applyNumberFormat="1" applyFont="1" applyFill="1" applyBorder="1" applyAlignment="1" applyProtection="1">
      <alignment vertical="center"/>
      <protection/>
    </xf>
    <xf numFmtId="190" fontId="26" fillId="55" borderId="11" xfId="42" applyNumberFormat="1" applyFont="1" applyFill="1" applyBorder="1" applyAlignment="1" applyProtection="1">
      <alignment horizontal="center"/>
      <protection/>
    </xf>
    <xf numFmtId="190" fontId="26" fillId="0" borderId="65" xfId="42" applyNumberFormat="1" applyFont="1" applyFill="1" applyBorder="1" applyAlignment="1" applyProtection="1">
      <alignment horizontal="center"/>
      <protection/>
    </xf>
    <xf numFmtId="187" fontId="26" fillId="0" borderId="14" xfId="42" applyNumberFormat="1" applyFont="1" applyBorder="1" applyAlignment="1">
      <alignment/>
    </xf>
    <xf numFmtId="0" fontId="0" fillId="0" borderId="65" xfId="0" applyBorder="1" applyAlignment="1">
      <alignment/>
    </xf>
    <xf numFmtId="190" fontId="26" fillId="0" borderId="26" xfId="42" applyNumberFormat="1" applyFont="1" applyFill="1" applyBorder="1" applyAlignment="1" quotePrefix="1">
      <alignment horizontal="center"/>
    </xf>
    <xf numFmtId="190" fontId="26" fillId="56" borderId="56" xfId="43" applyNumberFormat="1" applyFont="1" applyFill="1" applyBorder="1" applyAlignment="1" quotePrefix="1">
      <alignment horizontal="right"/>
    </xf>
    <xf numFmtId="190" fontId="26" fillId="50" borderId="56" xfId="43" applyNumberFormat="1" applyFont="1" applyFill="1" applyBorder="1" applyAlignment="1" quotePrefix="1">
      <alignment horizontal="right"/>
    </xf>
    <xf numFmtId="190" fontId="26" fillId="0" borderId="11" xfId="43" applyNumberFormat="1" applyFont="1" applyFill="1" applyBorder="1" applyAlignment="1">
      <alignment horizontal="right"/>
    </xf>
    <xf numFmtId="190" fontId="26" fillId="0" borderId="15" xfId="43" applyNumberFormat="1" applyFont="1" applyFill="1" applyBorder="1" applyAlignment="1">
      <alignment horizontal="right"/>
    </xf>
    <xf numFmtId="190" fontId="26" fillId="0" borderId="15" xfId="43" applyNumberFormat="1" applyFont="1" applyFill="1" applyBorder="1" applyAlignment="1" quotePrefix="1">
      <alignment horizontal="center"/>
    </xf>
    <xf numFmtId="190" fontId="26" fillId="0" borderId="11" xfId="42" applyNumberFormat="1" applyFont="1" applyFill="1" applyBorder="1" applyAlignment="1" quotePrefix="1">
      <alignment horizontal="right"/>
    </xf>
    <xf numFmtId="190" fontId="26" fillId="0" borderId="15" xfId="42" applyNumberFormat="1" applyFont="1" applyFill="1" applyBorder="1" applyAlignment="1" quotePrefix="1">
      <alignment horizontal="center"/>
    </xf>
    <xf numFmtId="190" fontId="26" fillId="0" borderId="11" xfId="42" applyNumberFormat="1" applyFont="1" applyFill="1" applyBorder="1" applyAlignment="1" quotePrefix="1">
      <alignment/>
    </xf>
    <xf numFmtId="190" fontId="26" fillId="0" borderId="14" xfId="42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3" fontId="26" fillId="0" borderId="62" xfId="42" applyNumberFormat="1" applyFont="1" applyBorder="1" applyAlignment="1">
      <alignment/>
    </xf>
    <xf numFmtId="190" fontId="26" fillId="0" borderId="12" xfId="43" applyNumberFormat="1" applyFont="1" applyFill="1" applyBorder="1" applyAlignment="1">
      <alignment horizontal="right"/>
    </xf>
    <xf numFmtId="190" fontId="26" fillId="0" borderId="62" xfId="43" applyNumberFormat="1" applyFont="1" applyFill="1" applyBorder="1" applyAlignment="1">
      <alignment horizontal="right"/>
    </xf>
    <xf numFmtId="190" fontId="26" fillId="0" borderId="62" xfId="42" applyNumberFormat="1" applyFont="1" applyFill="1" applyBorder="1" applyAlignment="1">
      <alignment horizontal="right"/>
    </xf>
    <xf numFmtId="190" fontId="26" fillId="0" borderId="76" xfId="43" applyNumberFormat="1" applyFont="1" applyFill="1" applyBorder="1" applyAlignment="1">
      <alignment horizontal="right"/>
    </xf>
    <xf numFmtId="190" fontId="26" fillId="49" borderId="10" xfId="43" applyNumberFormat="1" applyFont="1" applyFill="1" applyBorder="1" applyAlignment="1">
      <alignment horizontal="right"/>
    </xf>
    <xf numFmtId="190" fontId="26" fillId="0" borderId="76" xfId="42" applyNumberFormat="1" applyFont="1" applyFill="1" applyBorder="1" applyAlignment="1">
      <alignment horizontal="right"/>
    </xf>
    <xf numFmtId="190" fontId="26" fillId="0" borderId="0" xfId="43" applyNumberFormat="1" applyFont="1" applyFill="1" applyBorder="1" applyAlignment="1">
      <alignment horizontal="right"/>
    </xf>
    <xf numFmtId="195" fontId="0" fillId="0" borderId="77" xfId="43" applyNumberFormat="1" applyFont="1" applyBorder="1" applyAlignment="1">
      <alignment horizontal="right" vertical="distributed"/>
    </xf>
    <xf numFmtId="195" fontId="100" fillId="0" borderId="77" xfId="43" applyNumberFormat="1" applyFont="1" applyBorder="1" applyAlignment="1">
      <alignment horizontal="right" vertical="distributed"/>
    </xf>
    <xf numFmtId="195" fontId="0" fillId="0" borderId="77" xfId="43" applyNumberFormat="1" applyFont="1" applyBorder="1" applyAlignment="1">
      <alignment horizontal="right"/>
    </xf>
    <xf numFmtId="195" fontId="0" fillId="0" borderId="77" xfId="43" applyNumberFormat="1" applyFont="1" applyBorder="1" applyAlignment="1">
      <alignment horizontal="right" vertical="justify"/>
    </xf>
    <xf numFmtId="195" fontId="0" fillId="0" borderId="77" xfId="43" applyNumberFormat="1" applyFont="1" applyBorder="1" applyAlignment="1">
      <alignment horizontal="right"/>
    </xf>
    <xf numFmtId="198" fontId="0" fillId="0" borderId="77" xfId="43" applyNumberFormat="1" applyFont="1" applyBorder="1" applyAlignment="1">
      <alignment horizontal="right"/>
    </xf>
    <xf numFmtId="185" fontId="0" fillId="0" borderId="77" xfId="43" applyNumberFormat="1" applyFont="1" applyBorder="1" applyAlignment="1" quotePrefix="1">
      <alignment horizontal="right" vertical="center"/>
    </xf>
    <xf numFmtId="185" fontId="0" fillId="0" borderId="77" xfId="43" applyNumberFormat="1" applyFont="1" applyBorder="1" applyAlignment="1">
      <alignment/>
    </xf>
    <xf numFmtId="184" fontId="30" fillId="0" borderId="78" xfId="42" applyNumberFormat="1" applyFont="1" applyBorder="1" applyAlignment="1">
      <alignment/>
    </xf>
    <xf numFmtId="4" fontId="0" fillId="0" borderId="79" xfId="43" applyNumberFormat="1" applyFont="1" applyBorder="1" applyAlignment="1">
      <alignment horizontal="right" vertical="center"/>
    </xf>
    <xf numFmtId="4" fontId="0" fillId="0" borderId="11" xfId="43" applyNumberFormat="1" applyFont="1" applyBorder="1" applyAlignment="1">
      <alignment horizontal="right" vertical="center"/>
    </xf>
    <xf numFmtId="190" fontId="0" fillId="0" borderId="11" xfId="43" applyNumberFormat="1" applyFont="1" applyBorder="1" applyAlignment="1">
      <alignment horizontal="right"/>
    </xf>
    <xf numFmtId="4" fontId="0" fillId="0" borderId="62" xfId="43" applyNumberFormat="1" applyFont="1" applyBorder="1" applyAlignment="1">
      <alignment horizontal="right" vertical="center"/>
    </xf>
    <xf numFmtId="190" fontId="26" fillId="0" borderId="14" xfId="43" applyNumberFormat="1" applyFont="1" applyFill="1" applyBorder="1" applyAlignment="1">
      <alignment horizontal="right"/>
    </xf>
    <xf numFmtId="190" fontId="26" fillId="0" borderId="76" xfId="43" applyNumberFormat="1" applyFont="1" applyFill="1" applyBorder="1" applyAlignment="1">
      <alignment horizontal="right" vertical="center"/>
    </xf>
    <xf numFmtId="190" fontId="26" fillId="0" borderId="65" xfId="42" applyNumberFormat="1" applyFont="1" applyFill="1" applyBorder="1" applyAlignment="1">
      <alignment/>
    </xf>
    <xf numFmtId="190" fontId="26" fillId="57" borderId="68" xfId="42" applyNumberFormat="1" applyFont="1" applyFill="1" applyBorder="1" applyAlignment="1">
      <alignment horizontal="center"/>
    </xf>
    <xf numFmtId="190" fontId="26" fillId="57" borderId="11" xfId="42" applyNumberFormat="1" applyFont="1" applyFill="1" applyBorder="1" applyAlignment="1" quotePrefix="1">
      <alignment horizontal="center"/>
    </xf>
    <xf numFmtId="190" fontId="26" fillId="57" borderId="26" xfId="42" applyNumberFormat="1" applyFont="1" applyFill="1" applyBorder="1" applyAlignment="1" quotePrefix="1">
      <alignment horizontal="center"/>
    </xf>
    <xf numFmtId="4" fontId="26" fillId="0" borderId="11" xfId="43" applyNumberFormat="1" applyFont="1" applyBorder="1" applyAlignment="1">
      <alignment horizontal="right"/>
    </xf>
    <xf numFmtId="190" fontId="26" fillId="0" borderId="11" xfId="43" applyNumberFormat="1" applyFont="1" applyBorder="1" applyAlignment="1">
      <alignment horizontal="right" vertical="distributed"/>
    </xf>
    <xf numFmtId="190" fontId="26" fillId="0" borderId="11" xfId="43" applyNumberFormat="1" applyFont="1" applyBorder="1" applyAlignment="1">
      <alignment horizontal="right"/>
    </xf>
    <xf numFmtId="4" fontId="26" fillId="0" borderId="80" xfId="43" applyNumberFormat="1" applyFont="1" applyBorder="1" applyAlignment="1">
      <alignment horizontal="right"/>
    </xf>
    <xf numFmtId="4" fontId="26" fillId="0" borderId="81" xfId="43" applyNumberFormat="1" applyFont="1" applyBorder="1" applyAlignment="1">
      <alignment horizontal="right"/>
    </xf>
    <xf numFmtId="4" fontId="26" fillId="0" borderId="11" xfId="43" applyNumberFormat="1" applyFont="1" applyBorder="1" applyAlignment="1">
      <alignment horizontal="right" vertical="center"/>
    </xf>
    <xf numFmtId="190" fontId="26" fillId="57" borderId="15" xfId="43" applyNumberFormat="1" applyFont="1" applyFill="1" applyBorder="1" applyAlignment="1" quotePrefix="1">
      <alignment horizontal="right"/>
    </xf>
    <xf numFmtId="190" fontId="26" fillId="57" borderId="11" xfId="43" applyNumberFormat="1" applyFont="1" applyFill="1" applyBorder="1" applyAlignment="1" quotePrefix="1">
      <alignment horizontal="right"/>
    </xf>
    <xf numFmtId="190" fontId="26" fillId="57" borderId="11" xfId="43" applyNumberFormat="1" applyFont="1" applyFill="1" applyBorder="1" applyAlignment="1">
      <alignment horizontal="right"/>
    </xf>
    <xf numFmtId="190" fontId="26" fillId="57" borderId="15" xfId="42" applyNumberFormat="1" applyFont="1" applyFill="1" applyBorder="1" applyAlignment="1" applyProtection="1">
      <alignment horizontal="center"/>
      <protection/>
    </xf>
    <xf numFmtId="190" fontId="26" fillId="57" borderId="11" xfId="42" applyNumberFormat="1" applyFont="1" applyFill="1" applyBorder="1" applyAlignment="1" applyProtection="1">
      <alignment horizontal="center"/>
      <protection/>
    </xf>
    <xf numFmtId="190" fontId="26" fillId="57" borderId="15" xfId="42" applyNumberFormat="1" applyFont="1" applyFill="1" applyBorder="1" applyAlignment="1" quotePrefix="1">
      <alignment horizontal="center" vertical="center"/>
    </xf>
    <xf numFmtId="190" fontId="26" fillId="57" borderId="11" xfId="42" applyNumberFormat="1" applyFont="1" applyFill="1" applyBorder="1" applyAlignment="1" quotePrefix="1">
      <alignment horizontal="center" vertical="center"/>
    </xf>
    <xf numFmtId="0" fontId="67" fillId="0" borderId="0" xfId="0" applyFont="1" applyAlignment="1">
      <alignment horizontal="center"/>
    </xf>
    <xf numFmtId="0" fontId="26" fillId="0" borderId="6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/>
    </xf>
    <xf numFmtId="0" fontId="26" fillId="0" borderId="8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7" fillId="0" borderId="0" xfId="0" applyNumberFormat="1" applyFont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58" borderId="68" xfId="0" applyFont="1" applyFill="1" applyBorder="1" applyAlignment="1">
      <alignment horizontal="center" vertical="center"/>
    </xf>
    <xf numFmtId="0" fontId="26" fillId="58" borderId="11" xfId="0" applyFont="1" applyFill="1" applyBorder="1" applyAlignment="1">
      <alignment horizontal="center" vertical="center"/>
    </xf>
    <xf numFmtId="0" fontId="24" fillId="41" borderId="72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171" fontId="2" fillId="0" borderId="0" xfId="42" applyNumberFormat="1" applyFont="1" applyBorder="1" applyAlignment="1">
      <alignment horizontal="center"/>
    </xf>
    <xf numFmtId="0" fontId="17" fillId="33" borderId="83" xfId="0" applyFont="1" applyFill="1" applyBorder="1" applyAlignment="1">
      <alignment horizontal="center" vertical="center"/>
    </xf>
    <xf numFmtId="0" fontId="16" fillId="33" borderId="84" xfId="0" applyFont="1" applyFill="1" applyBorder="1" applyAlignment="1">
      <alignment horizontal="center" vertical="center"/>
    </xf>
    <xf numFmtId="0" fontId="16" fillId="33" borderId="85" xfId="0" applyFont="1" applyFill="1" applyBorder="1" applyAlignment="1">
      <alignment horizontal="center" vertical="center"/>
    </xf>
    <xf numFmtId="0" fontId="24" fillId="41" borderId="67" xfId="0" applyFont="1" applyFill="1" applyBorder="1" applyAlignment="1">
      <alignment horizontal="center" vertical="center"/>
    </xf>
    <xf numFmtId="0" fontId="24" fillId="41" borderId="61" xfId="0" applyFont="1" applyFill="1" applyBorder="1" applyAlignment="1">
      <alignment horizontal="center" vertical="center"/>
    </xf>
    <xf numFmtId="0" fontId="24" fillId="59" borderId="68" xfId="0" applyFont="1" applyFill="1" applyBorder="1" applyAlignment="1">
      <alignment horizontal="center" vertical="center"/>
    </xf>
    <xf numFmtId="0" fontId="24" fillId="59" borderId="11" xfId="0" applyFont="1" applyFill="1" applyBorder="1" applyAlignment="1">
      <alignment horizontal="center" vertical="center"/>
    </xf>
    <xf numFmtId="0" fontId="24" fillId="41" borderId="68" xfId="0" applyFont="1" applyFill="1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185" fontId="24" fillId="0" borderId="65" xfId="0" applyNumberFormat="1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6" fillId="58" borderId="68" xfId="0" applyFont="1" applyFill="1" applyBorder="1" applyAlignment="1">
      <alignment horizontal="center" vertical="center"/>
    </xf>
    <xf numFmtId="190" fontId="26" fillId="49" borderId="65" xfId="42" applyNumberFormat="1" applyFont="1" applyFill="1" applyBorder="1" applyAlignment="1">
      <alignment horizontal="center" vertical="center"/>
    </xf>
    <xf numFmtId="190" fontId="26" fillId="49" borderId="65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41" borderId="86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58" borderId="87" xfId="0" applyFont="1" applyFill="1" applyBorder="1" applyAlignment="1">
      <alignment horizontal="center" vertical="center"/>
    </xf>
    <xf numFmtId="0" fontId="2" fillId="58" borderId="88" xfId="0" applyFont="1" applyFill="1" applyBorder="1" applyAlignment="1">
      <alignment horizontal="center" vertical="center"/>
    </xf>
    <xf numFmtId="0" fontId="2" fillId="58" borderId="89" xfId="0" applyFont="1" applyFill="1" applyBorder="1" applyAlignment="1">
      <alignment horizontal="center" vertical="center"/>
    </xf>
    <xf numFmtId="0" fontId="2" fillId="58" borderId="90" xfId="0" applyFont="1" applyFill="1" applyBorder="1" applyAlignment="1">
      <alignment horizontal="center" vertical="center"/>
    </xf>
    <xf numFmtId="0" fontId="2" fillId="58" borderId="91" xfId="0" applyFont="1" applyFill="1" applyBorder="1" applyAlignment="1">
      <alignment horizontal="center" vertical="center"/>
    </xf>
    <xf numFmtId="0" fontId="2" fillId="58" borderId="92" xfId="0" applyFont="1" applyFill="1" applyBorder="1" applyAlignment="1">
      <alignment horizontal="center" vertical="center"/>
    </xf>
    <xf numFmtId="0" fontId="3" fillId="59" borderId="93" xfId="0" applyFont="1" applyFill="1" applyBorder="1" applyAlignment="1">
      <alignment horizontal="center" vertical="center"/>
    </xf>
    <xf numFmtId="0" fontId="6" fillId="59" borderId="0" xfId="0" applyFont="1" applyFill="1" applyBorder="1" applyAlignment="1">
      <alignment horizontal="center" vertical="center"/>
    </xf>
    <xf numFmtId="0" fontId="3" fillId="41" borderId="93" xfId="0" applyFont="1" applyFill="1" applyBorder="1" applyAlignment="1">
      <alignment horizontal="center"/>
    </xf>
    <xf numFmtId="0" fontId="3" fillId="41" borderId="40" xfId="0" applyFont="1" applyFill="1" applyBorder="1" applyAlignment="1">
      <alignment horizontal="center"/>
    </xf>
    <xf numFmtId="0" fontId="3" fillId="41" borderId="94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87" fontId="15" fillId="0" borderId="17" xfId="4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/>
    </xf>
    <xf numFmtId="0" fontId="1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 DEBIT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BENDUNG KONTROL POINT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5925"/>
          <c:w val="0.94575"/>
          <c:h val="0.821"/>
        </c:manualLayout>
      </c:layout>
      <c:lineChart>
        <c:grouping val="standard"/>
        <c:varyColors val="0"/>
        <c:ser>
          <c:idx val="0"/>
          <c:order val="0"/>
          <c:tx>
            <c:v>FAKTOR 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'REKAP 5 TH'!$B$9:$B$14</c:f>
              <c:strCache/>
            </c:strRef>
          </c:cat>
          <c:val>
            <c:numRef>
              <c:f>'REKAP 5 TH'!$J$9:$J$14</c:f>
              <c:numCache/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7310"/>
        <c:crossesAt val="0.5"/>
        <c:auto val="1"/>
        <c:lblOffset val="100"/>
        <c:tickLblSkip val="1"/>
        <c:noMultiLvlLbl val="0"/>
      </c:catAx>
      <c:valAx>
        <c:axId val="2077310"/>
        <c:scaling>
          <c:orientation val="minMax"/>
          <c:max val="1.1"/>
          <c:min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3893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DEBIT BENDUNG KONTROL POINT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925"/>
          <c:w val="0.94425"/>
          <c:h val="0.821"/>
        </c:manualLayout>
      </c:layout>
      <c:lineChart>
        <c:grouping val="standard"/>
        <c:varyColors val="0"/>
        <c:ser>
          <c:idx val="2"/>
          <c:order val="0"/>
          <c:tx>
            <c:v>FAKTOR 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'REKAP PROP'!$B$10:$C$15</c:f>
              <c:multiLvlStrCache/>
            </c:multiLvlStrRef>
          </c:cat>
          <c:val>
            <c:numRef>
              <c:f>'REKAP PROP'!$J$10:$J$15</c:f>
              <c:numCache/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44392"/>
        <c:crossesAt val="0.5"/>
        <c:auto val="1"/>
        <c:lblOffset val="100"/>
        <c:tickLblSkip val="1"/>
        <c:noMultiLvlLbl val="0"/>
      </c:catAx>
      <c:valAx>
        <c:axId val="34044392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95791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Debit Bendung-bendung pada Balai PSDA Bengawan Solo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Periode Minggu ke I ( tgl. 03 s/d 09 Januari 2011 )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Q Tersedia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'BENG.SOLO'!$J$11:$J$54</c:f>
              <c:numCache/>
            </c:numRef>
          </c:val>
        </c:ser>
        <c:ser>
          <c:idx val="2"/>
          <c:order val="1"/>
          <c:tx>
            <c:v>Q Dibutuhkan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'BENG.SOLO'!$K$11:$K$54</c:f>
              <c:numCache/>
            </c:numRef>
          </c:val>
        </c:ser>
        <c:gapWidth val="100"/>
        <c:axId val="37964073"/>
        <c:axId val="6132338"/>
      </c:barChart>
      <c:catAx>
        <c:axId val="379640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338"/>
        <c:crossesAt val="0.1"/>
        <c:auto val="1"/>
        <c:lblOffset val="100"/>
        <c:tickLblSkip val="1"/>
        <c:noMultiLvlLbl val="0"/>
      </c:catAx>
      <c:valAx>
        <c:axId val="61323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 ( m3/det 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4073"/>
        <c:crosses val="max"/>
        <c:crossBetween val="between"/>
        <c:dispUnits/>
        <c:majorUnit val="5"/>
        <c:minorUnit val="1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81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Faktor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957340"/>
        <c:crosses val="autoZero"/>
        <c:auto val="0"/>
        <c:lblOffset val="100"/>
        <c:tickLblSkip val="44"/>
        <c:noMultiLvlLbl val="0"/>
      </c:catAx>
      <c:valAx>
        <c:axId val="26957340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5191043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GRAFIK BENDUNG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Ref>
              <c:f>'PROB-SCIT'!$M$10:$M$48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0902"/>
        <c:crossesAt val="1"/>
        <c:auto val="1"/>
        <c:lblOffset val="100"/>
        <c:tickLblSkip val="1"/>
        <c:noMultiLvlLbl val="0"/>
      </c:catAx>
      <c:valAx>
        <c:axId val="360609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9469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 SUNGAI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'PC-JT-SL'!$J$10:$J$39</c:f>
              <c:numCache/>
            </c:numRef>
          </c:val>
        </c:ser>
        <c:ser>
          <c:idx val="1"/>
          <c:order val="1"/>
          <c:tx>
            <c:v>Q KEBUTUHAN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'PC-JT-SL'!$K$10:$K$39</c:f>
              <c:numCache/>
            </c:numRef>
          </c:val>
        </c:ser>
        <c:ser>
          <c:idx val="2"/>
          <c:order val="2"/>
          <c:tx>
            <c:v>FAKTOR K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'PC-JT-SL'!$L$10:$L$39</c:f>
              <c:numCache/>
            </c:numRef>
          </c:val>
        </c:ser>
        <c:gapWidth val="300"/>
        <c:axId val="56112663"/>
        <c:axId val="35251920"/>
      </c:bar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51920"/>
        <c:crosses val="autoZero"/>
        <c:auto val="1"/>
        <c:lblOffset val="100"/>
        <c:tickLblSkip val="30"/>
        <c:noMultiLvlLbl val="0"/>
      </c:catAx>
      <c:valAx>
        <c:axId val="35251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M/DETIK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12663"/>
        <c:crossesAt val="1"/>
        <c:crossBetween val="between"/>
        <c:dispUnits/>
        <c:majorUnit val="39.81610499999999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 Comal, Jratun dan Serang Lusi Juana
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factor"/>
          <c:yMode val="factor"/>
          <c:x val="-0.118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0925"/>
          <c:w val="0.91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Ref>
              <c:f>'PC-JT-SL'!$L$10:$L$65</c:f>
              <c:numCache>
                <c:ptCount val="56"/>
                <c:pt idx="0">
                  <c:v>1</c:v>
                </c:pt>
                <c:pt idx="1">
                  <c:v>1</c:v>
                </c:pt>
                <c:pt idx="2">
                  <c:v>0.9999999999999999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0.8409986859395532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5">
                  <c:v>1</c:v>
                </c:pt>
                <c:pt idx="46">
                  <c:v>0.5901803607214429</c:v>
                </c:pt>
                <c:pt idx="47">
                  <c:v>0</c:v>
                </c:pt>
                <c:pt idx="48">
                  <c:v>0.4959349593495936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0.8954918032786885</c:v>
                </c:pt>
                <c:pt idx="54">
                  <c:v>0.8165019338203695</c:v>
                </c:pt>
                <c:pt idx="5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33242"/>
        <c:crossesAt val="0.5"/>
        <c:auto val="1"/>
        <c:lblOffset val="100"/>
        <c:tickLblSkip val="1"/>
        <c:noMultiLvlLbl val="0"/>
      </c:catAx>
      <c:valAx>
        <c:axId val="36833242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182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17</xdr:row>
      <xdr:rowOff>47625</xdr:rowOff>
    </xdr:from>
    <xdr:to>
      <xdr:col>9</xdr:col>
      <xdr:colOff>1066800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847725" y="4191000"/>
        <a:ext cx="86868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17</xdr:row>
      <xdr:rowOff>47625</xdr:rowOff>
    </xdr:from>
    <xdr:to>
      <xdr:col>9</xdr:col>
      <xdr:colOff>762000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762000" y="4524375"/>
        <a:ext cx="84677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0.096</cdr:y>
    </cdr:from>
    <cdr:to>
      <cdr:x>1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9125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0.034</cdr:y>
    </cdr:from>
    <cdr:to>
      <cdr:x>1</cdr:x>
      <cdr:y>0.16275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19075"/>
          <a:ext cx="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Grafik faktor k Bendung bendung pada Balai PSDA  Bengawan Solo Periode minggu IV ( tgl 27 Pebruari s/ d 4 Maret 2012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4</xdr:row>
      <xdr:rowOff>142875</xdr:rowOff>
    </xdr:from>
    <xdr:to>
      <xdr:col>34</xdr:col>
      <xdr:colOff>0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8324850" y="1133475"/>
        <a:ext cx="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809625</xdr:colOff>
      <xdr:row>57</xdr:row>
      <xdr:rowOff>19050</xdr:rowOff>
    </xdr:from>
    <xdr:to>
      <xdr:col>31</xdr:col>
      <xdr:colOff>0</xdr:colOff>
      <xdr:row>97</xdr:row>
      <xdr:rowOff>123825</xdr:rowOff>
    </xdr:to>
    <xdr:graphicFrame>
      <xdr:nvGraphicFramePr>
        <xdr:cNvPr id="2" name="Chart 3"/>
        <xdr:cNvGraphicFramePr/>
      </xdr:nvGraphicFramePr>
      <xdr:xfrm>
        <a:off x="8324850" y="11849100"/>
        <a:ext cx="0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0.0665</cdr:y>
    </cdr:from>
    <cdr:to>
      <cdr:x>0</cdr:x>
      <cdr:y>0.11675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38200"/>
          <a:ext cx="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0.0195</cdr:y>
    </cdr:from>
    <cdr:to>
      <cdr:x>0</cdr:x>
      <cdr:y>0.0905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Grafik Faktor K Bendung  - bendung pada Balai PSDA Probolo dan Sercit  Periode Minggu I V ( tgl 27 Pebruari  s / d  4 Maret  2012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</xdr:row>
      <xdr:rowOff>180975</xdr:rowOff>
    </xdr:from>
    <xdr:to>
      <xdr:col>34</xdr:col>
      <xdr:colOff>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0906125" y="2095500"/>
        <a:ext cx="0" cy="1271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0.0965</cdr:y>
    </cdr:from>
    <cdr:to>
      <cdr:x>0</cdr:x>
      <cdr:y>0.1835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66800"/>
          <a:ext cx="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171450</xdr:rowOff>
    </xdr:from>
    <xdr:to>
      <xdr:col>31</xdr:col>
      <xdr:colOff>0</xdr:colOff>
      <xdr:row>42</xdr:row>
      <xdr:rowOff>228600</xdr:rowOff>
    </xdr:to>
    <xdr:graphicFrame>
      <xdr:nvGraphicFramePr>
        <xdr:cNvPr id="1" name="Chart 5"/>
        <xdr:cNvGraphicFramePr/>
      </xdr:nvGraphicFramePr>
      <xdr:xfrm>
        <a:off x="10763250" y="571500"/>
        <a:ext cx="0" cy="1110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18154650" y="1104900"/>
        <a:ext cx="135540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showGridLines="0" zoomScalePageLayoutView="0" workbookViewId="0" topLeftCell="A4">
      <selection activeCell="D9" sqref="D9"/>
    </sheetView>
  </sheetViews>
  <sheetFormatPr defaultColWidth="9.140625" defaultRowHeight="12.75"/>
  <cols>
    <col min="1" max="1" width="9.140625" style="272" customWidth="1"/>
    <col min="2" max="2" width="19.28125" style="272" customWidth="1"/>
    <col min="3" max="3" width="10.8515625" style="272" customWidth="1"/>
    <col min="4" max="4" width="15.57421875" style="272" customWidth="1"/>
    <col min="5" max="5" width="15.140625" style="272" customWidth="1"/>
    <col min="6" max="6" width="14.00390625" style="272" customWidth="1"/>
    <col min="7" max="7" width="14.28125" style="272" customWidth="1"/>
    <col min="8" max="8" width="14.8515625" style="272" customWidth="1"/>
    <col min="9" max="9" width="13.8515625" style="272" customWidth="1"/>
    <col min="10" max="10" width="16.8515625" style="272" customWidth="1"/>
    <col min="11" max="11" width="12.28125" style="272" customWidth="1"/>
    <col min="12" max="16384" width="9.140625" style="272" customWidth="1"/>
  </cols>
  <sheetData>
    <row r="3" spans="2:12" ht="23.25">
      <c r="B3" s="465" t="s">
        <v>369</v>
      </c>
      <c r="C3" s="465"/>
      <c r="D3" s="465"/>
      <c r="E3" s="465"/>
      <c r="F3" s="465"/>
      <c r="G3" s="465"/>
      <c r="H3" s="465"/>
      <c r="I3" s="465"/>
      <c r="J3" s="465"/>
      <c r="K3" s="274"/>
      <c r="L3" s="274"/>
    </row>
    <row r="4" spans="2:12" ht="23.25">
      <c r="B4" s="465" t="s">
        <v>355</v>
      </c>
      <c r="C4" s="465"/>
      <c r="D4" s="465"/>
      <c r="E4" s="465"/>
      <c r="F4" s="465"/>
      <c r="G4" s="465"/>
      <c r="H4" s="465"/>
      <c r="I4" s="465"/>
      <c r="J4" s="465"/>
      <c r="K4" s="274"/>
      <c r="L4" s="274"/>
    </row>
    <row r="5" ht="13.5" thickBot="1"/>
    <row r="6" spans="2:10" ht="22.5" customHeight="1">
      <c r="B6" s="470" t="s">
        <v>354</v>
      </c>
      <c r="C6" s="471"/>
      <c r="D6" s="289" t="s">
        <v>51</v>
      </c>
      <c r="E6" s="289" t="s">
        <v>57</v>
      </c>
      <c r="F6" s="473" t="s">
        <v>54</v>
      </c>
      <c r="G6" s="473"/>
      <c r="H6" s="289" t="s">
        <v>57</v>
      </c>
      <c r="I6" s="289" t="s">
        <v>57</v>
      </c>
      <c r="J6" s="291"/>
    </row>
    <row r="7" spans="2:10" ht="22.5" customHeight="1">
      <c r="B7" s="472"/>
      <c r="C7" s="467"/>
      <c r="D7" s="290" t="s">
        <v>52</v>
      </c>
      <c r="E7" s="290" t="s">
        <v>62</v>
      </c>
      <c r="F7" s="231" t="s">
        <v>55</v>
      </c>
      <c r="G7" s="231" t="s">
        <v>56</v>
      </c>
      <c r="H7" s="290" t="s">
        <v>58</v>
      </c>
      <c r="I7" s="290" t="s">
        <v>59</v>
      </c>
      <c r="J7" s="292" t="s">
        <v>157</v>
      </c>
    </row>
    <row r="8" spans="2:10" ht="22.5" customHeight="1">
      <c r="B8" s="472"/>
      <c r="C8" s="467"/>
      <c r="D8" s="229" t="s">
        <v>53</v>
      </c>
      <c r="E8" s="229" t="s">
        <v>365</v>
      </c>
      <c r="F8" s="229" t="s">
        <v>366</v>
      </c>
      <c r="G8" s="229" t="s">
        <v>365</v>
      </c>
      <c r="H8" s="229" t="s">
        <v>365</v>
      </c>
      <c r="I8" s="229" t="s">
        <v>365</v>
      </c>
      <c r="J8" s="293" t="s">
        <v>158</v>
      </c>
    </row>
    <row r="9" spans="2:11" ht="22.5" customHeight="1">
      <c r="B9" s="474" t="s">
        <v>356</v>
      </c>
      <c r="C9" s="475"/>
      <c r="D9" s="204">
        <v>353856</v>
      </c>
      <c r="E9" s="221">
        <v>791.96</v>
      </c>
      <c r="F9" s="215">
        <v>101.79</v>
      </c>
      <c r="G9" s="215">
        <v>136.11</v>
      </c>
      <c r="H9" s="215">
        <v>1026.85</v>
      </c>
      <c r="I9" s="215">
        <v>218.99</v>
      </c>
      <c r="J9" s="345">
        <f aca="true" t="shared" si="0" ref="J9:J14">IF(I9=0,0,(IF(H9/I9&gt;1,1,H9/I9)))</f>
        <v>1</v>
      </c>
      <c r="K9" s="273"/>
    </row>
    <row r="10" spans="2:11" ht="22.5" customHeight="1">
      <c r="B10" s="474" t="s">
        <v>357</v>
      </c>
      <c r="C10" s="475"/>
      <c r="D10" s="204">
        <v>354280</v>
      </c>
      <c r="E10" s="215">
        <v>111.4</v>
      </c>
      <c r="F10" s="215">
        <v>61.72</v>
      </c>
      <c r="G10" s="215">
        <v>81.11</v>
      </c>
      <c r="H10" s="215">
        <v>253.03</v>
      </c>
      <c r="I10" s="215">
        <v>181.15</v>
      </c>
      <c r="J10" s="345">
        <f t="shared" si="0"/>
        <v>1</v>
      </c>
      <c r="K10" s="273"/>
    </row>
    <row r="11" spans="2:11" ht="22.5" customHeight="1">
      <c r="B11" s="466" t="s">
        <v>358</v>
      </c>
      <c r="C11" s="467"/>
      <c r="D11" s="204">
        <v>350714</v>
      </c>
      <c r="E11" s="215">
        <v>41.9</v>
      </c>
      <c r="F11" s="215">
        <v>85.8</v>
      </c>
      <c r="G11" s="215">
        <v>70.28</v>
      </c>
      <c r="H11" s="215">
        <v>197.98</v>
      </c>
      <c r="I11" s="215">
        <v>187.32</v>
      </c>
      <c r="J11" s="345">
        <f t="shared" si="0"/>
        <v>1</v>
      </c>
      <c r="K11" s="273"/>
    </row>
    <row r="12" spans="2:11" ht="22.5" customHeight="1">
      <c r="B12" s="466" t="s">
        <v>362</v>
      </c>
      <c r="C12" s="467"/>
      <c r="D12" s="204">
        <v>339342</v>
      </c>
      <c r="E12" s="215">
        <v>235.648</v>
      </c>
      <c r="F12" s="215">
        <v>116.265</v>
      </c>
      <c r="G12" s="215">
        <v>90.073</v>
      </c>
      <c r="H12" s="215">
        <v>388.237</v>
      </c>
      <c r="I12" s="215">
        <v>173.14</v>
      </c>
      <c r="J12" s="345">
        <f t="shared" si="0"/>
        <v>1</v>
      </c>
      <c r="K12" s="273"/>
    </row>
    <row r="13" spans="2:11" ht="22.5" customHeight="1">
      <c r="B13" s="466" t="s">
        <v>361</v>
      </c>
      <c r="C13" s="467"/>
      <c r="D13" s="204">
        <v>338451</v>
      </c>
      <c r="E13" s="215">
        <v>270.25</v>
      </c>
      <c r="F13" s="215">
        <v>66.093</v>
      </c>
      <c r="G13" s="215">
        <v>124.496</v>
      </c>
      <c r="H13" s="215">
        <v>457.273</v>
      </c>
      <c r="I13" s="215">
        <v>189.37</v>
      </c>
      <c r="J13" s="345">
        <f t="shared" si="0"/>
        <v>1</v>
      </c>
      <c r="K13" s="273"/>
    </row>
    <row r="14" spans="2:11" ht="22.5" customHeight="1" thickBot="1">
      <c r="B14" s="468" t="s">
        <v>386</v>
      </c>
      <c r="C14" s="469"/>
      <c r="D14" s="288">
        <f>'REKAP PROP'!D16</f>
        <v>403140</v>
      </c>
      <c r="E14" s="254">
        <f>'REKAP PROP'!E16</f>
        <v>2015.5749999999998</v>
      </c>
      <c r="F14" s="254">
        <f>'REKAP PROP'!F16</f>
        <v>160.09499999999997</v>
      </c>
      <c r="G14" s="254">
        <f>'REKAP PROP'!G16</f>
        <v>153.411</v>
      </c>
      <c r="H14" s="254">
        <f>'REKAP PROP'!H16</f>
        <v>2329.081</v>
      </c>
      <c r="I14" s="254">
        <f>'REKAP PROP'!I16</f>
        <v>376.97299999999996</v>
      </c>
      <c r="J14" s="346">
        <f t="shared" si="0"/>
        <v>1</v>
      </c>
      <c r="K14" s="273"/>
    </row>
  </sheetData>
  <sheetProtection/>
  <mergeCells count="10">
    <mergeCell ref="B3:J3"/>
    <mergeCell ref="B4:J4"/>
    <mergeCell ref="B12:C12"/>
    <mergeCell ref="B13:C13"/>
    <mergeCell ref="B14:C14"/>
    <mergeCell ref="B6:C8"/>
    <mergeCell ref="F6:G6"/>
    <mergeCell ref="B11:C11"/>
    <mergeCell ref="B9:C9"/>
    <mergeCell ref="B10:C10"/>
  </mergeCells>
  <printOptions horizontalCentered="1"/>
  <pageMargins left="0.75" right="0.75" top="2.14" bottom="1" header="0.5" footer="0.5"/>
  <pageSetup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9.140625" style="272" customWidth="1"/>
    <col min="2" max="2" width="19.28125" style="272" customWidth="1"/>
    <col min="3" max="3" width="10.8515625" style="272" customWidth="1"/>
    <col min="4" max="4" width="15.57421875" style="272" customWidth="1"/>
    <col min="5" max="5" width="15.140625" style="272" customWidth="1"/>
    <col min="6" max="6" width="14.00390625" style="272" customWidth="1"/>
    <col min="7" max="7" width="14.28125" style="272" customWidth="1"/>
    <col min="8" max="8" width="14.8515625" style="272" customWidth="1"/>
    <col min="9" max="9" width="13.8515625" style="272" customWidth="1"/>
    <col min="10" max="12" width="13.421875" style="272" customWidth="1"/>
    <col min="13" max="16384" width="9.140625" style="272" customWidth="1"/>
  </cols>
  <sheetData>
    <row r="3" spans="2:12" ht="23.25">
      <c r="B3" s="465" t="s">
        <v>159</v>
      </c>
      <c r="C3" s="465"/>
      <c r="D3" s="465"/>
      <c r="E3" s="465"/>
      <c r="F3" s="465"/>
      <c r="G3" s="465"/>
      <c r="H3" s="465"/>
      <c r="I3" s="465"/>
      <c r="J3" s="465"/>
      <c r="K3" s="274"/>
      <c r="L3" s="274"/>
    </row>
    <row r="4" spans="2:12" ht="23.25">
      <c r="B4" s="465" t="s">
        <v>391</v>
      </c>
      <c r="C4" s="465"/>
      <c r="D4" s="465"/>
      <c r="E4" s="465"/>
      <c r="F4" s="465"/>
      <c r="G4" s="465"/>
      <c r="H4" s="465"/>
      <c r="I4" s="465"/>
      <c r="J4" s="465"/>
      <c r="K4" s="274"/>
      <c r="L4" s="274"/>
    </row>
    <row r="5" spans="2:12" ht="23.25">
      <c r="B5" s="477" t="s">
        <v>394</v>
      </c>
      <c r="C5" s="477"/>
      <c r="D5" s="477"/>
      <c r="E5" s="477"/>
      <c r="F5" s="477"/>
      <c r="G5" s="477"/>
      <c r="H5" s="477"/>
      <c r="I5" s="477"/>
      <c r="J5" s="477"/>
      <c r="K5" s="275"/>
      <c r="L5" s="275"/>
    </row>
    <row r="6" ht="13.5" thickBot="1"/>
    <row r="7" spans="2:10" ht="22.5" customHeight="1">
      <c r="B7" s="470" t="s">
        <v>392</v>
      </c>
      <c r="C7" s="471"/>
      <c r="D7" s="281" t="s">
        <v>51</v>
      </c>
      <c r="E7" s="281" t="s">
        <v>57</v>
      </c>
      <c r="F7" s="479" t="s">
        <v>54</v>
      </c>
      <c r="G7" s="479"/>
      <c r="H7" s="281" t="s">
        <v>57</v>
      </c>
      <c r="I7" s="281" t="s">
        <v>57</v>
      </c>
      <c r="J7" s="285"/>
    </row>
    <row r="8" spans="2:10" ht="22.5" customHeight="1">
      <c r="B8" s="472"/>
      <c r="C8" s="467"/>
      <c r="D8" s="282" t="s">
        <v>52</v>
      </c>
      <c r="E8" s="282" t="s">
        <v>62</v>
      </c>
      <c r="F8" s="284" t="s">
        <v>55</v>
      </c>
      <c r="G8" s="284" t="s">
        <v>56</v>
      </c>
      <c r="H8" s="282" t="s">
        <v>58</v>
      </c>
      <c r="I8" s="282" t="s">
        <v>59</v>
      </c>
      <c r="J8" s="286" t="s">
        <v>157</v>
      </c>
    </row>
    <row r="9" spans="2:10" ht="22.5" customHeight="1" thickBot="1">
      <c r="B9" s="476"/>
      <c r="C9" s="469"/>
      <c r="D9" s="283" t="s">
        <v>53</v>
      </c>
      <c r="E9" s="283" t="s">
        <v>365</v>
      </c>
      <c r="F9" s="283" t="s">
        <v>366</v>
      </c>
      <c r="G9" s="283" t="s">
        <v>365</v>
      </c>
      <c r="H9" s="283" t="s">
        <v>365</v>
      </c>
      <c r="I9" s="283" t="s">
        <v>365</v>
      </c>
      <c r="J9" s="287" t="s">
        <v>158</v>
      </c>
    </row>
    <row r="10" spans="2:11" ht="22.5" customHeight="1">
      <c r="B10" s="480" t="s">
        <v>74</v>
      </c>
      <c r="C10" s="481"/>
      <c r="D10" s="276">
        <f>+'PC-JT-SL'!F40</f>
        <v>115703</v>
      </c>
      <c r="E10" s="276">
        <f>+'PC-JT-SL'!G40</f>
        <v>399.638</v>
      </c>
      <c r="F10" s="276">
        <f>+'PC-JT-SL'!H40</f>
        <v>45.936</v>
      </c>
      <c r="G10" s="276">
        <f>+'PC-JT-SL'!I40</f>
        <v>50.82300000000001</v>
      </c>
      <c r="H10" s="276">
        <f>+'PC-JT-SL'!J40</f>
        <v>496.39699999999993</v>
      </c>
      <c r="I10" s="276">
        <f>+'PC-JT-SL'!K40</f>
        <v>151.74799999999993</v>
      </c>
      <c r="J10" s="277">
        <f>IF(I10=0,0,(IF(H10/I10&gt;1,1,H10/I10)))</f>
        <v>1</v>
      </c>
      <c r="K10" s="273"/>
    </row>
    <row r="11" spans="2:11" ht="22.5" customHeight="1">
      <c r="B11" s="466" t="s">
        <v>393</v>
      </c>
      <c r="C11" s="467"/>
      <c r="D11" s="278">
        <f>+'PC-JT-SL'!F53</f>
        <v>44611</v>
      </c>
      <c r="E11" s="278">
        <f>+'PC-JT-SL'!G53</f>
        <v>87.55100000000002</v>
      </c>
      <c r="F11" s="278">
        <f>+'PC-JT-SL'!H53</f>
        <v>19.502</v>
      </c>
      <c r="G11" s="278">
        <f>+'PC-JT-SL'!I53</f>
        <v>20.462000000000003</v>
      </c>
      <c r="H11" s="278">
        <f>+'PC-JT-SL'!J53</f>
        <v>127.51500000000001</v>
      </c>
      <c r="I11" s="278">
        <f>+'PC-JT-SL'!K53</f>
        <v>39.964</v>
      </c>
      <c r="J11" s="277">
        <f aca="true" t="shared" si="0" ref="J11:J16">IF(I11=0,0,(IF(H11/I11&gt;1,1,H11/I11)))</f>
        <v>1</v>
      </c>
      <c r="K11" s="273"/>
    </row>
    <row r="12" spans="2:11" ht="22.5" customHeight="1">
      <c r="B12" s="466" t="s">
        <v>142</v>
      </c>
      <c r="C12" s="467"/>
      <c r="D12" s="278">
        <f>+'PC-JT-SL'!F69</f>
        <v>89463</v>
      </c>
      <c r="E12" s="278">
        <f>+'PC-JT-SL'!G69</f>
        <v>104.039</v>
      </c>
      <c r="F12" s="278">
        <f>+'PC-JT-SL'!H69</f>
        <v>31.642</v>
      </c>
      <c r="G12" s="278">
        <f>+'PC-JT-SL'!I69</f>
        <v>19.226</v>
      </c>
      <c r="H12" s="278">
        <f>+'PC-JT-SL'!J69</f>
        <v>154.90699999999998</v>
      </c>
      <c r="I12" s="278">
        <f>+'PC-JT-SL'!K69</f>
        <v>67.939</v>
      </c>
      <c r="J12" s="277">
        <f t="shared" si="0"/>
        <v>1</v>
      </c>
      <c r="K12" s="273"/>
    </row>
    <row r="13" spans="2:11" ht="22.5" customHeight="1">
      <c r="B13" s="466" t="s">
        <v>80</v>
      </c>
      <c r="C13" s="467"/>
      <c r="D13" s="278">
        <f>+'BENG.SOLO'!F55</f>
        <v>45319</v>
      </c>
      <c r="E13" s="278">
        <f>+'BENG.SOLO'!G55</f>
        <v>99.42300000000002</v>
      </c>
      <c r="F13" s="278">
        <f>+'BENG.SOLO'!H55</f>
        <v>26.311</v>
      </c>
      <c r="G13" s="278">
        <f>+'BENG.SOLO'!I55</f>
        <v>14.214000000000002</v>
      </c>
      <c r="H13" s="278">
        <f>+'BENG.SOLO'!J55</f>
        <v>139.948</v>
      </c>
      <c r="I13" s="278">
        <f>+'BENG.SOLO'!K55</f>
        <v>30.55899999999999</v>
      </c>
      <c r="J13" s="277">
        <f t="shared" si="0"/>
        <v>1</v>
      </c>
      <c r="K13" s="273"/>
    </row>
    <row r="14" spans="2:11" ht="22.5" customHeight="1">
      <c r="B14" s="466" t="s">
        <v>82</v>
      </c>
      <c r="C14" s="467"/>
      <c r="D14" s="278">
        <f>+'PROB-SCIT'!G50</f>
        <v>40145</v>
      </c>
      <c r="E14" s="278">
        <f>+'PROB-SCIT'!H50</f>
        <v>82.626</v>
      </c>
      <c r="F14" s="278">
        <f>+'PROB-SCIT'!I50</f>
        <v>25.013999999999996</v>
      </c>
      <c r="G14" s="278">
        <f>+'PROB-SCIT'!J50</f>
        <v>4.336</v>
      </c>
      <c r="H14" s="278">
        <f>+'PROB-SCIT'!K50</f>
        <v>111.976</v>
      </c>
      <c r="I14" s="278">
        <f>+'PROB-SCIT'!L50</f>
        <v>32.987</v>
      </c>
      <c r="J14" s="277">
        <f t="shared" si="0"/>
        <v>1</v>
      </c>
      <c r="K14" s="273"/>
    </row>
    <row r="15" spans="2:11" ht="22.5" customHeight="1">
      <c r="B15" s="466" t="s">
        <v>84</v>
      </c>
      <c r="C15" s="467"/>
      <c r="D15" s="278">
        <f>+'PROB-SCIT'!G49</f>
        <v>67899</v>
      </c>
      <c r="E15" s="278">
        <f>+'PROB-SCIT'!H49</f>
        <v>1242.298</v>
      </c>
      <c r="F15" s="278">
        <f>+'PROB-SCIT'!I49</f>
        <v>11.69</v>
      </c>
      <c r="G15" s="278">
        <f>+'PROB-SCIT'!J49</f>
        <v>44.349999999999994</v>
      </c>
      <c r="H15" s="278">
        <f>+'PROB-SCIT'!K49</f>
        <v>1298.3380000000002</v>
      </c>
      <c r="I15" s="278">
        <f>+'PROB-SCIT'!L49</f>
        <v>53.775999999999996</v>
      </c>
      <c r="J15" s="277">
        <f t="shared" si="0"/>
        <v>1</v>
      </c>
      <c r="K15" s="273"/>
    </row>
    <row r="16" spans="2:10" ht="28.5" customHeight="1" thickBot="1">
      <c r="B16" s="468" t="s">
        <v>353</v>
      </c>
      <c r="C16" s="478"/>
      <c r="D16" s="279">
        <f aca="true" t="shared" si="1" ref="D16:I16">SUM(D10:D15)</f>
        <v>403140</v>
      </c>
      <c r="E16" s="279">
        <f t="shared" si="1"/>
        <v>2015.5749999999998</v>
      </c>
      <c r="F16" s="279">
        <f t="shared" si="1"/>
        <v>160.09499999999997</v>
      </c>
      <c r="G16" s="279">
        <f t="shared" si="1"/>
        <v>153.411</v>
      </c>
      <c r="H16" s="279">
        <f t="shared" si="1"/>
        <v>2329.081</v>
      </c>
      <c r="I16" s="279">
        <f t="shared" si="1"/>
        <v>376.97299999999996</v>
      </c>
      <c r="J16" s="280">
        <f t="shared" si="0"/>
        <v>1</v>
      </c>
    </row>
  </sheetData>
  <sheetProtection/>
  <mergeCells count="12">
    <mergeCell ref="B16:C16"/>
    <mergeCell ref="B15:C15"/>
    <mergeCell ref="F7:G7"/>
    <mergeCell ref="B10:C10"/>
    <mergeCell ref="B11:C11"/>
    <mergeCell ref="B12:C12"/>
    <mergeCell ref="B13:C13"/>
    <mergeCell ref="B7:C9"/>
    <mergeCell ref="B14:C14"/>
    <mergeCell ref="B3:J3"/>
    <mergeCell ref="B4:J4"/>
    <mergeCell ref="B5:J5"/>
  </mergeCells>
  <printOptions horizontalCentered="1"/>
  <pageMargins left="0.19" right="0.15" top="2.14" bottom="1" header="0.5" footer="0.5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Q64"/>
  <sheetViews>
    <sheetView showGridLines="0" tabSelected="1" zoomScale="145" zoomScaleNormal="145" zoomScalePageLayoutView="0" workbookViewId="0" topLeftCell="B7">
      <pane ySplit="1830" topLeftCell="A1" activePane="bottomLeft" state="split"/>
      <selection pane="topLeft" activeCell="I10" sqref="I1:I16384"/>
      <selection pane="bottomLeft" activeCell="K26" sqref="K26"/>
    </sheetView>
  </sheetViews>
  <sheetFormatPr defaultColWidth="9.140625" defaultRowHeight="12.75"/>
  <cols>
    <col min="2" max="2" width="4.28125" style="0" customWidth="1"/>
    <col min="3" max="3" width="15.00390625" style="0" customWidth="1"/>
    <col min="4" max="4" width="14.8515625" style="0" customWidth="1"/>
    <col min="5" max="5" width="12.28125" style="0" customWidth="1"/>
    <col min="6" max="6" width="11.28125" style="324" customWidth="1"/>
    <col min="7" max="7" width="9.421875" style="0" customWidth="1"/>
    <col min="8" max="8" width="9.00390625" style="0" customWidth="1"/>
    <col min="9" max="9" width="9.140625" style="0" customWidth="1"/>
    <col min="10" max="10" width="10.421875" style="0" customWidth="1"/>
    <col min="11" max="11" width="11.421875" style="0" customWidth="1"/>
    <col min="12" max="12" width="8.57421875" style="0" customWidth="1"/>
    <col min="13" max="13" width="11.8515625" style="0" hidden="1" customWidth="1"/>
    <col min="14" max="14" width="13.421875" style="0" hidden="1" customWidth="1"/>
    <col min="15" max="15" width="12.57421875" style="0" hidden="1" customWidth="1"/>
    <col min="16" max="16" width="11.140625" style="0" hidden="1" customWidth="1"/>
    <col min="17" max="18" width="11.57421875" style="0" hidden="1" customWidth="1"/>
    <col min="19" max="19" width="15.57421875" style="0" hidden="1" customWidth="1"/>
    <col min="20" max="38" width="0" style="0" hidden="1" customWidth="1"/>
    <col min="39" max="39" width="17.57421875" style="0" hidden="1" customWidth="1"/>
    <col min="40" max="40" width="12.7109375" style="0" hidden="1" customWidth="1"/>
    <col min="41" max="41" width="13.421875" style="0" hidden="1" customWidth="1"/>
  </cols>
  <sheetData>
    <row r="2" spans="2:19" ht="21.75">
      <c r="B2" s="483" t="s">
        <v>239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38"/>
      <c r="N2" s="38"/>
      <c r="O2" s="38"/>
      <c r="P2" s="38"/>
      <c r="Q2" s="38"/>
      <c r="R2" s="38"/>
      <c r="S2" s="38"/>
    </row>
    <row r="3" spans="2:19" ht="21.75">
      <c r="B3" s="483" t="s">
        <v>390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38"/>
      <c r="N3" s="38"/>
      <c r="O3" s="38"/>
      <c r="P3" s="38"/>
      <c r="Q3" s="38"/>
      <c r="R3" s="38"/>
      <c r="S3" s="38"/>
    </row>
    <row r="4" spans="2:19" ht="21.75">
      <c r="B4" s="483" t="str">
        <f>'PC-JT-SL'!$B$3:$L$3</f>
        <v>MINGGU ke VI MARET ( Tgl. 27 MARET s/d  2  April  2018 )  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38"/>
      <c r="N4" s="38"/>
      <c r="O4" s="38"/>
      <c r="P4" s="38"/>
      <c r="Q4" s="38"/>
      <c r="R4" s="38"/>
      <c r="S4" s="38"/>
    </row>
    <row r="5" spans="2:19" ht="16.5" thickBot="1">
      <c r="B5" s="182" t="s">
        <v>72</v>
      </c>
      <c r="C5" s="182"/>
      <c r="D5" s="182"/>
      <c r="E5" s="182"/>
      <c r="F5" s="316"/>
      <c r="G5" s="182"/>
      <c r="H5" s="182"/>
      <c r="I5" s="182"/>
      <c r="J5" s="182"/>
      <c r="K5" s="182"/>
      <c r="L5" s="182"/>
      <c r="M5" s="1"/>
      <c r="N5" s="1"/>
      <c r="O5" s="1"/>
      <c r="P5" s="1"/>
      <c r="Q5" s="1"/>
      <c r="R5" s="1"/>
      <c r="S5" s="1"/>
    </row>
    <row r="6" spans="2:26" ht="17.25" customHeight="1" thickTop="1">
      <c r="B6" s="492" t="s">
        <v>0</v>
      </c>
      <c r="C6" s="484" t="s">
        <v>261</v>
      </c>
      <c r="D6" s="494" t="s">
        <v>4</v>
      </c>
      <c r="E6" s="183"/>
      <c r="F6" s="317" t="s">
        <v>51</v>
      </c>
      <c r="G6" s="341" t="s">
        <v>57</v>
      </c>
      <c r="H6" s="496" t="s">
        <v>54</v>
      </c>
      <c r="I6" s="496"/>
      <c r="J6" s="341" t="s">
        <v>57</v>
      </c>
      <c r="K6" s="185" t="s">
        <v>57</v>
      </c>
      <c r="L6" s="186" t="s">
        <v>60</v>
      </c>
      <c r="M6" s="489" t="s">
        <v>169</v>
      </c>
      <c r="N6" s="97"/>
      <c r="O6" s="145"/>
      <c r="P6" s="41"/>
      <c r="Q6" s="41"/>
      <c r="R6" s="41"/>
      <c r="S6" s="41"/>
      <c r="Z6" s="148"/>
    </row>
    <row r="7" spans="2:19" ht="15.75" customHeight="1">
      <c r="B7" s="493"/>
      <c r="C7" s="485"/>
      <c r="D7" s="495"/>
      <c r="E7" s="342" t="s">
        <v>255</v>
      </c>
      <c r="F7" s="318" t="s">
        <v>52</v>
      </c>
      <c r="G7" s="342" t="s">
        <v>62</v>
      </c>
      <c r="H7" s="188" t="s">
        <v>55</v>
      </c>
      <c r="I7" s="189" t="s">
        <v>56</v>
      </c>
      <c r="J7" s="342" t="s">
        <v>58</v>
      </c>
      <c r="K7" s="190" t="s">
        <v>262</v>
      </c>
      <c r="L7" s="486" t="s">
        <v>61</v>
      </c>
      <c r="M7" s="490"/>
      <c r="N7" s="98" t="s">
        <v>170</v>
      </c>
      <c r="O7" s="146"/>
      <c r="P7" s="41"/>
      <c r="Q7" s="41"/>
      <c r="R7" s="41"/>
      <c r="S7" s="41"/>
    </row>
    <row r="8" spans="2:19" ht="18.75" thickBot="1">
      <c r="B8" s="493"/>
      <c r="C8" s="485"/>
      <c r="D8" s="495"/>
      <c r="E8" s="191"/>
      <c r="F8" s="319" t="s">
        <v>53</v>
      </c>
      <c r="G8" s="343" t="s">
        <v>370</v>
      </c>
      <c r="H8" s="193" t="s">
        <v>364</v>
      </c>
      <c r="I8" s="194" t="s">
        <v>364</v>
      </c>
      <c r="J8" s="343" t="s">
        <v>370</v>
      </c>
      <c r="K8" s="195" t="s">
        <v>364</v>
      </c>
      <c r="L8" s="487"/>
      <c r="M8" s="491"/>
      <c r="N8" s="99"/>
      <c r="O8" s="147"/>
      <c r="P8" s="41"/>
      <c r="Q8" s="41"/>
      <c r="R8" s="41"/>
      <c r="S8" s="41"/>
    </row>
    <row r="9" spans="2:19" ht="17.25" thickBot="1" thickTop="1">
      <c r="B9" s="196">
        <v>1</v>
      </c>
      <c r="C9" s="197">
        <v>2</v>
      </c>
      <c r="D9" s="198">
        <v>3</v>
      </c>
      <c r="E9" s="198">
        <v>4</v>
      </c>
      <c r="F9" s="320">
        <v>5</v>
      </c>
      <c r="G9" s="198">
        <v>6</v>
      </c>
      <c r="H9" s="198">
        <v>7</v>
      </c>
      <c r="I9" s="198">
        <v>8</v>
      </c>
      <c r="J9" s="198">
        <v>9</v>
      </c>
      <c r="K9" s="198">
        <v>10</v>
      </c>
      <c r="L9" s="199">
        <v>11</v>
      </c>
      <c r="M9" s="85"/>
      <c r="N9" s="90"/>
      <c r="O9" s="41"/>
      <c r="P9" s="41"/>
      <c r="Q9" s="41"/>
      <c r="R9" s="41"/>
      <c r="S9" s="41"/>
    </row>
    <row r="10" spans="2:41" ht="19.5" thickBot="1" thickTop="1">
      <c r="B10" s="200" t="s">
        <v>79</v>
      </c>
      <c r="C10" s="482" t="s">
        <v>80</v>
      </c>
      <c r="D10" s="482"/>
      <c r="E10" s="214"/>
      <c r="F10" s="321"/>
      <c r="G10" s="216"/>
      <c r="H10" s="217"/>
      <c r="I10" s="217"/>
      <c r="J10" s="218"/>
      <c r="K10" s="221" t="s">
        <v>2</v>
      </c>
      <c r="L10" s="219"/>
      <c r="M10" s="86"/>
      <c r="N10" s="91"/>
      <c r="O10" s="42"/>
      <c r="P10" s="42"/>
      <c r="Q10" s="42"/>
      <c r="R10" s="42"/>
      <c r="S10" s="42"/>
      <c r="AN10" s="33" t="s">
        <v>111</v>
      </c>
      <c r="AO10" s="33" t="s">
        <v>112</v>
      </c>
    </row>
    <row r="11" spans="2:43" ht="15.75" customHeight="1" thickTop="1">
      <c r="B11" s="201">
        <v>1</v>
      </c>
      <c r="C11" s="205" t="s">
        <v>140</v>
      </c>
      <c r="D11" s="202" t="s">
        <v>135</v>
      </c>
      <c r="E11" s="203" t="s">
        <v>306</v>
      </c>
      <c r="F11" s="321">
        <f>10514+1889+439+1903+9717</f>
        <v>24462</v>
      </c>
      <c r="G11" s="403">
        <v>37</v>
      </c>
      <c r="H11" s="403">
        <v>16.08</v>
      </c>
      <c r="I11" s="403">
        <v>4.13</v>
      </c>
      <c r="J11" s="403">
        <f>G11+H11+I11</f>
        <v>57.21</v>
      </c>
      <c r="K11" s="450">
        <v>17</v>
      </c>
      <c r="L11" s="306">
        <f>IF(K11=0,0,(IF(J11/K11&gt;1,1,J11/K11)))</f>
        <v>1</v>
      </c>
      <c r="M11" s="87"/>
      <c r="N11" s="92"/>
      <c r="O11" s="101"/>
      <c r="P11" s="71" t="s">
        <v>161</v>
      </c>
      <c r="Q11" s="72" t="s">
        <v>38</v>
      </c>
      <c r="R11" s="76">
        <v>10514</v>
      </c>
      <c r="S11" s="53">
        <f>+J11/K11</f>
        <v>3.3652941176470588</v>
      </c>
      <c r="AM11" s="33" t="s">
        <v>38</v>
      </c>
      <c r="AN11" s="34">
        <v>3030</v>
      </c>
      <c r="AO11" s="34">
        <v>7484</v>
      </c>
      <c r="AQ11" t="s">
        <v>381</v>
      </c>
    </row>
    <row r="12" spans="2:41" ht="15.75">
      <c r="B12" s="201">
        <v>2</v>
      </c>
      <c r="C12" s="205" t="s">
        <v>29</v>
      </c>
      <c r="D12" s="206" t="s">
        <v>30</v>
      </c>
      <c r="E12" s="207" t="s">
        <v>307</v>
      </c>
      <c r="F12" s="321">
        <v>650</v>
      </c>
      <c r="G12" s="403">
        <v>3.58</v>
      </c>
      <c r="H12" s="403">
        <v>0.804</v>
      </c>
      <c r="I12" s="403">
        <v>0</v>
      </c>
      <c r="J12" s="403">
        <f aca="true" t="shared" si="0" ref="J12:J55">G12+H12+I12</f>
        <v>4.384</v>
      </c>
      <c r="K12" s="450">
        <v>0.456</v>
      </c>
      <c r="L12" s="306">
        <f aca="true" t="shared" si="1" ref="L12:L55">IF(K12=0,0,(IF(J12/K12&gt;1,1,J12/K12)))</f>
        <v>1</v>
      </c>
      <c r="M12" s="88">
        <f>+K12*0.1+K12</f>
        <v>0.5016</v>
      </c>
      <c r="N12" s="92"/>
      <c r="O12" s="70"/>
      <c r="P12" s="70"/>
      <c r="Q12" s="72" t="s">
        <v>29</v>
      </c>
      <c r="R12" s="76">
        <v>1888</v>
      </c>
      <c r="S12" s="53">
        <f aca="true" t="shared" si="2" ref="S12:S55">+J12/K12</f>
        <v>9.614035087719298</v>
      </c>
      <c r="T12" s="1"/>
      <c r="AM12" s="3" t="s">
        <v>138</v>
      </c>
      <c r="AN12" s="44">
        <f>SUM(AN11:AN11)</f>
        <v>3030</v>
      </c>
      <c r="AO12" s="12">
        <f>SUM(AO11:AO11)</f>
        <v>7484</v>
      </c>
    </row>
    <row r="13" spans="2:41" ht="15.75">
      <c r="B13" s="201">
        <v>3</v>
      </c>
      <c r="C13" s="205" t="s">
        <v>29</v>
      </c>
      <c r="D13" s="206" t="s">
        <v>99</v>
      </c>
      <c r="E13" s="207" t="s">
        <v>308</v>
      </c>
      <c r="F13" s="321">
        <v>1191</v>
      </c>
      <c r="G13" s="403">
        <v>0.422</v>
      </c>
      <c r="H13" s="403">
        <v>1.124</v>
      </c>
      <c r="I13" s="403">
        <v>0</v>
      </c>
      <c r="J13" s="403">
        <f t="shared" si="0"/>
        <v>1.546</v>
      </c>
      <c r="K13" s="450">
        <v>0.95</v>
      </c>
      <c r="L13" s="306">
        <f t="shared" si="1"/>
        <v>1</v>
      </c>
      <c r="M13" s="88"/>
      <c r="N13" s="92"/>
      <c r="O13" s="70"/>
      <c r="P13" s="70"/>
      <c r="Q13" s="72" t="s">
        <v>1</v>
      </c>
      <c r="R13" s="76">
        <v>439</v>
      </c>
      <c r="S13" s="53">
        <f t="shared" si="2"/>
        <v>1.6273684210526318</v>
      </c>
      <c r="T13" s="1"/>
      <c r="AM13" s="3" t="s">
        <v>139</v>
      </c>
      <c r="AN13" s="44"/>
      <c r="AO13" s="12">
        <f>+AO12+AN12</f>
        <v>10514</v>
      </c>
    </row>
    <row r="14" spans="2:41" ht="15.75">
      <c r="B14" s="201">
        <f aca="true" t="shared" si="3" ref="B14:B54">+B13+1</f>
        <v>4</v>
      </c>
      <c r="C14" s="205" t="s">
        <v>29</v>
      </c>
      <c r="D14" s="206" t="s">
        <v>100</v>
      </c>
      <c r="E14" s="207" t="s">
        <v>309</v>
      </c>
      <c r="F14" s="321">
        <v>1100</v>
      </c>
      <c r="G14" s="403">
        <v>1.736</v>
      </c>
      <c r="H14" s="403">
        <v>0.885</v>
      </c>
      <c r="I14" s="403">
        <v>0</v>
      </c>
      <c r="J14" s="403">
        <f t="shared" si="0"/>
        <v>2.621</v>
      </c>
      <c r="K14" s="450">
        <v>0.88</v>
      </c>
      <c r="L14" s="306">
        <f t="shared" si="1"/>
        <v>1</v>
      </c>
      <c r="M14" s="88"/>
      <c r="N14" s="92"/>
      <c r="O14" s="70"/>
      <c r="P14" s="53"/>
      <c r="Q14" s="74" t="s">
        <v>162</v>
      </c>
      <c r="R14" s="76">
        <v>1903</v>
      </c>
      <c r="S14" s="53">
        <f t="shared" si="2"/>
        <v>2.978409090909091</v>
      </c>
      <c r="T14" s="1"/>
      <c r="AM14" s="36"/>
      <c r="AN14" s="50"/>
      <c r="AO14" s="49"/>
    </row>
    <row r="15" spans="2:41" ht="15.75">
      <c r="B15" s="201">
        <f t="shared" si="3"/>
        <v>5</v>
      </c>
      <c r="C15" s="205" t="s">
        <v>33</v>
      </c>
      <c r="D15" s="206" t="s">
        <v>39</v>
      </c>
      <c r="E15" s="207" t="s">
        <v>310</v>
      </c>
      <c r="F15" s="321">
        <v>550</v>
      </c>
      <c r="G15" s="403">
        <v>1.45</v>
      </c>
      <c r="H15" s="403">
        <v>0.125</v>
      </c>
      <c r="I15" s="403">
        <v>0.065</v>
      </c>
      <c r="J15" s="403">
        <f t="shared" si="0"/>
        <v>1.64</v>
      </c>
      <c r="K15" s="450">
        <v>0.225</v>
      </c>
      <c r="L15" s="306">
        <f t="shared" si="1"/>
        <v>1</v>
      </c>
      <c r="M15" s="88">
        <f>+K15*0.1+K15</f>
        <v>0.2475</v>
      </c>
      <c r="N15" s="92">
        <f>+I15</f>
        <v>0.065</v>
      </c>
      <c r="O15" s="70"/>
      <c r="P15" s="70"/>
      <c r="Q15" s="72" t="s">
        <v>33</v>
      </c>
      <c r="R15" s="76">
        <v>9717</v>
      </c>
      <c r="S15" s="53">
        <f t="shared" si="2"/>
        <v>7.288888888888888</v>
      </c>
      <c r="T15" s="1"/>
      <c r="AM15" s="36"/>
      <c r="AN15" s="50"/>
      <c r="AO15" s="49"/>
    </row>
    <row r="16" spans="2:41" ht="15.75">
      <c r="B16" s="201">
        <f t="shared" si="3"/>
        <v>6</v>
      </c>
      <c r="C16" s="205" t="s">
        <v>1</v>
      </c>
      <c r="D16" s="206" t="s">
        <v>28</v>
      </c>
      <c r="E16" s="207" t="s">
        <v>311</v>
      </c>
      <c r="F16" s="321">
        <v>637</v>
      </c>
      <c r="G16" s="403">
        <v>0</v>
      </c>
      <c r="H16" s="403">
        <v>0</v>
      </c>
      <c r="I16" s="403">
        <v>0.711</v>
      </c>
      <c r="J16" s="403">
        <f t="shared" si="0"/>
        <v>0.711</v>
      </c>
      <c r="K16" s="450">
        <v>0.325</v>
      </c>
      <c r="L16" s="306">
        <f t="shared" si="1"/>
        <v>1</v>
      </c>
      <c r="M16" s="88"/>
      <c r="N16" s="92"/>
      <c r="O16" s="70"/>
      <c r="P16" s="70"/>
      <c r="Q16" s="73"/>
      <c r="R16" s="75">
        <f>SUM(R11:R15)</f>
        <v>24461</v>
      </c>
      <c r="S16" s="53">
        <f t="shared" si="2"/>
        <v>2.1876923076923074</v>
      </c>
      <c r="T16" s="1"/>
      <c r="AM16" s="36"/>
      <c r="AN16" s="50"/>
      <c r="AO16" s="49"/>
    </row>
    <row r="17" spans="2:20" ht="15.75">
      <c r="B17" s="201">
        <f t="shared" si="3"/>
        <v>7</v>
      </c>
      <c r="C17" s="205" t="s">
        <v>29</v>
      </c>
      <c r="D17" s="206" t="s">
        <v>101</v>
      </c>
      <c r="E17" s="207" t="s">
        <v>312</v>
      </c>
      <c r="F17" s="321">
        <v>325</v>
      </c>
      <c r="G17" s="403">
        <v>2.518</v>
      </c>
      <c r="H17" s="403">
        <v>0.399</v>
      </c>
      <c r="I17" s="403">
        <v>0</v>
      </c>
      <c r="J17" s="403">
        <f t="shared" si="0"/>
        <v>2.917</v>
      </c>
      <c r="K17" s="450">
        <v>0.25</v>
      </c>
      <c r="L17" s="306">
        <f t="shared" si="1"/>
        <v>1</v>
      </c>
      <c r="M17" s="89"/>
      <c r="N17" s="93"/>
      <c r="O17" s="84"/>
      <c r="P17" s="488" t="s">
        <v>112</v>
      </c>
      <c r="Q17" s="488"/>
      <c r="R17" s="75">
        <f>+R13+R14+R15+R11</f>
        <v>22573</v>
      </c>
      <c r="S17" s="53">
        <f t="shared" si="2"/>
        <v>11.668</v>
      </c>
      <c r="T17" s="1"/>
    </row>
    <row r="18" spans="2:20" ht="15.75">
      <c r="B18" s="201">
        <f t="shared" si="3"/>
        <v>8</v>
      </c>
      <c r="C18" s="205" t="s">
        <v>38</v>
      </c>
      <c r="D18" s="206" t="s">
        <v>102</v>
      </c>
      <c r="E18" s="207" t="s">
        <v>310</v>
      </c>
      <c r="F18" s="321">
        <v>51</v>
      </c>
      <c r="G18" s="403">
        <v>1.125</v>
      </c>
      <c r="H18" s="403">
        <v>0.05</v>
      </c>
      <c r="I18" s="403">
        <v>0</v>
      </c>
      <c r="J18" s="403">
        <f t="shared" si="0"/>
        <v>1.175</v>
      </c>
      <c r="K18" s="450">
        <v>0.05</v>
      </c>
      <c r="L18" s="306">
        <f t="shared" si="1"/>
        <v>1</v>
      </c>
      <c r="M18" s="88"/>
      <c r="N18" s="92"/>
      <c r="O18" s="70"/>
      <c r="P18" s="488" t="s">
        <v>111</v>
      </c>
      <c r="Q18" s="488"/>
      <c r="R18" s="75">
        <f>+R12</f>
        <v>1888</v>
      </c>
      <c r="S18" s="53">
        <f t="shared" si="2"/>
        <v>23.5</v>
      </c>
      <c r="T18" s="1"/>
    </row>
    <row r="19" spans="2:20" ht="15.75">
      <c r="B19" s="201">
        <f t="shared" si="3"/>
        <v>9</v>
      </c>
      <c r="C19" s="205" t="s">
        <v>31</v>
      </c>
      <c r="D19" s="206" t="s">
        <v>103</v>
      </c>
      <c r="E19" s="207" t="s">
        <v>313</v>
      </c>
      <c r="F19" s="321">
        <v>748</v>
      </c>
      <c r="G19" s="403">
        <v>1.189</v>
      </c>
      <c r="H19" s="403">
        <v>0</v>
      </c>
      <c r="I19" s="403">
        <v>0.647</v>
      </c>
      <c r="J19" s="403">
        <f t="shared" si="0"/>
        <v>1.836</v>
      </c>
      <c r="K19" s="450">
        <v>0.45</v>
      </c>
      <c r="L19" s="306">
        <f t="shared" si="1"/>
        <v>1</v>
      </c>
      <c r="M19" s="88"/>
      <c r="N19" s="92"/>
      <c r="O19" s="70"/>
      <c r="P19" s="70"/>
      <c r="Q19" s="70"/>
      <c r="R19" s="78" t="s">
        <v>2</v>
      </c>
      <c r="S19" s="53">
        <f t="shared" si="2"/>
        <v>4.08</v>
      </c>
      <c r="T19" s="1"/>
    </row>
    <row r="20" spans="2:20" ht="15.75">
      <c r="B20" s="201">
        <f t="shared" si="3"/>
        <v>10</v>
      </c>
      <c r="C20" s="205" t="s">
        <v>31</v>
      </c>
      <c r="D20" s="206" t="s">
        <v>120</v>
      </c>
      <c r="E20" s="207" t="s">
        <v>314</v>
      </c>
      <c r="F20" s="321">
        <v>168</v>
      </c>
      <c r="G20" s="403">
        <v>0</v>
      </c>
      <c r="H20" s="403">
        <v>0.122</v>
      </c>
      <c r="I20" s="403">
        <v>0</v>
      </c>
      <c r="J20" s="403">
        <f t="shared" si="0"/>
        <v>0.122</v>
      </c>
      <c r="K20" s="450">
        <v>0.13</v>
      </c>
      <c r="L20" s="306">
        <f t="shared" si="1"/>
        <v>0.9384615384615385</v>
      </c>
      <c r="M20" s="88"/>
      <c r="N20" s="92"/>
      <c r="O20" s="70"/>
      <c r="P20" s="70"/>
      <c r="Q20" s="70"/>
      <c r="R20" s="53"/>
      <c r="S20" s="53">
        <f t="shared" si="2"/>
        <v>0.9384615384615385</v>
      </c>
      <c r="T20" s="1"/>
    </row>
    <row r="21" spans="2:20" ht="15.75">
      <c r="B21" s="201">
        <f t="shared" si="3"/>
        <v>11</v>
      </c>
      <c r="C21" s="205" t="s">
        <v>31</v>
      </c>
      <c r="D21" s="206" t="s">
        <v>121</v>
      </c>
      <c r="E21" s="207" t="s">
        <v>315</v>
      </c>
      <c r="F21" s="321">
        <v>156</v>
      </c>
      <c r="G21" s="403">
        <v>0</v>
      </c>
      <c r="H21" s="403">
        <v>0.045</v>
      </c>
      <c r="I21" s="403">
        <v>0.044</v>
      </c>
      <c r="J21" s="403">
        <f t="shared" si="0"/>
        <v>0.089</v>
      </c>
      <c r="K21" s="450">
        <v>0.1</v>
      </c>
      <c r="L21" s="306">
        <f t="shared" si="1"/>
        <v>0.8899999999999999</v>
      </c>
      <c r="M21" s="88"/>
      <c r="N21" s="92"/>
      <c r="O21" s="70"/>
      <c r="P21" s="70"/>
      <c r="Q21" s="70"/>
      <c r="R21" s="43"/>
      <c r="S21" s="53">
        <f t="shared" si="2"/>
        <v>0.8899999999999999</v>
      </c>
      <c r="T21" s="1"/>
    </row>
    <row r="22" spans="2:20" ht="15.75">
      <c r="B22" s="201">
        <f t="shared" si="3"/>
        <v>12</v>
      </c>
      <c r="C22" s="205" t="s">
        <v>31</v>
      </c>
      <c r="D22" s="206" t="s">
        <v>122</v>
      </c>
      <c r="E22" s="207" t="s">
        <v>312</v>
      </c>
      <c r="F22" s="321">
        <v>192</v>
      </c>
      <c r="G22" s="403">
        <v>0</v>
      </c>
      <c r="H22" s="403">
        <v>0</v>
      </c>
      <c r="I22" s="403">
        <v>0.234</v>
      </c>
      <c r="J22" s="403">
        <f t="shared" si="0"/>
        <v>0.234</v>
      </c>
      <c r="K22" s="450">
        <v>0.09</v>
      </c>
      <c r="L22" s="306">
        <f t="shared" si="1"/>
        <v>1</v>
      </c>
      <c r="M22" s="88"/>
      <c r="N22" s="92"/>
      <c r="O22" s="70"/>
      <c r="P22" s="70"/>
      <c r="Q22" s="70"/>
      <c r="R22" s="43"/>
      <c r="S22" s="53"/>
      <c r="T22" s="1"/>
    </row>
    <row r="23" spans="2:20" ht="15.75">
      <c r="B23" s="201">
        <f t="shared" si="3"/>
        <v>13</v>
      </c>
      <c r="C23" s="205" t="s">
        <v>31</v>
      </c>
      <c r="D23" s="206" t="s">
        <v>123</v>
      </c>
      <c r="E23" s="207" t="s">
        <v>312</v>
      </c>
      <c r="F23" s="321">
        <v>348</v>
      </c>
      <c r="G23" s="403">
        <v>0</v>
      </c>
      <c r="H23" s="403">
        <v>0</v>
      </c>
      <c r="I23" s="404">
        <v>0.328</v>
      </c>
      <c r="J23" s="403">
        <f t="shared" si="0"/>
        <v>0.328</v>
      </c>
      <c r="K23" s="450">
        <v>0.156</v>
      </c>
      <c r="L23" s="306">
        <v>1</v>
      </c>
      <c r="M23" s="88">
        <f>+K23*0.1+K23</f>
        <v>0.1716</v>
      </c>
      <c r="N23" s="92">
        <f>+I23</f>
        <v>0.328</v>
      </c>
      <c r="O23" s="70"/>
      <c r="P23" s="174"/>
      <c r="Q23" s="53"/>
      <c r="R23" s="43"/>
      <c r="S23" s="53">
        <f t="shared" si="2"/>
        <v>2.1025641025641026</v>
      </c>
      <c r="T23" s="1"/>
    </row>
    <row r="24" spans="2:20" ht="15.75">
      <c r="B24" s="201">
        <f t="shared" si="3"/>
        <v>14</v>
      </c>
      <c r="C24" s="205" t="s">
        <v>31</v>
      </c>
      <c r="D24" s="206" t="s">
        <v>124</v>
      </c>
      <c r="E24" s="207" t="s">
        <v>371</v>
      </c>
      <c r="F24" s="321">
        <v>437</v>
      </c>
      <c r="G24" s="403">
        <v>0</v>
      </c>
      <c r="H24" s="403">
        <v>0.301</v>
      </c>
      <c r="I24" s="403">
        <v>0</v>
      </c>
      <c r="J24" s="403">
        <f t="shared" si="0"/>
        <v>0.301</v>
      </c>
      <c r="K24" s="450">
        <v>0.22</v>
      </c>
      <c r="L24" s="306">
        <f t="shared" si="1"/>
        <v>1</v>
      </c>
      <c r="M24" s="88">
        <f>+K24*0.1+K24</f>
        <v>0.242</v>
      </c>
      <c r="N24" s="92">
        <f>+H24</f>
        <v>0.301</v>
      </c>
      <c r="O24" s="70"/>
      <c r="P24" s="70"/>
      <c r="Q24" s="70"/>
      <c r="R24" s="43"/>
      <c r="S24" s="53">
        <f t="shared" si="2"/>
        <v>1.3681818181818182</v>
      </c>
      <c r="T24" s="1"/>
    </row>
    <row r="25" spans="2:20" ht="15.75">
      <c r="B25" s="201">
        <f t="shared" si="3"/>
        <v>15</v>
      </c>
      <c r="C25" s="205" t="s">
        <v>12</v>
      </c>
      <c r="D25" s="206" t="s">
        <v>35</v>
      </c>
      <c r="E25" s="207" t="s">
        <v>296</v>
      </c>
      <c r="F25" s="321">
        <v>653</v>
      </c>
      <c r="G25" s="403">
        <v>5.063</v>
      </c>
      <c r="H25" s="404">
        <v>0.804</v>
      </c>
      <c r="I25" s="403">
        <v>0</v>
      </c>
      <c r="J25" s="403">
        <f t="shared" si="0"/>
        <v>5.867</v>
      </c>
      <c r="K25" s="450">
        <v>0.5</v>
      </c>
      <c r="L25" s="306">
        <f t="shared" si="1"/>
        <v>1</v>
      </c>
      <c r="M25" s="88">
        <f>+K25*0.1+K25</f>
        <v>0.55</v>
      </c>
      <c r="N25" s="92">
        <f>+I25</f>
        <v>0</v>
      </c>
      <c r="O25" s="70"/>
      <c r="P25" s="70"/>
      <c r="Q25" s="70"/>
      <c r="R25" s="43"/>
      <c r="S25" s="53">
        <f t="shared" si="2"/>
        <v>11.734</v>
      </c>
      <c r="T25" s="1"/>
    </row>
    <row r="26" spans="2:20" ht="15.75">
      <c r="B26" s="201">
        <f t="shared" si="3"/>
        <v>16</v>
      </c>
      <c r="C26" s="205" t="s">
        <v>33</v>
      </c>
      <c r="D26" s="206" t="s">
        <v>113</v>
      </c>
      <c r="E26" s="207" t="s">
        <v>316</v>
      </c>
      <c r="F26" s="321">
        <v>2814</v>
      </c>
      <c r="G26" s="403">
        <v>1.647</v>
      </c>
      <c r="H26" s="403">
        <v>0</v>
      </c>
      <c r="I26" s="403">
        <v>2.119</v>
      </c>
      <c r="J26" s="403">
        <f t="shared" si="0"/>
        <v>3.766</v>
      </c>
      <c r="K26" s="450">
        <v>1</v>
      </c>
      <c r="L26" s="306">
        <f t="shared" si="1"/>
        <v>1</v>
      </c>
      <c r="M26" s="88">
        <f>+K26*0.1+K26</f>
        <v>1.1</v>
      </c>
      <c r="N26" s="92">
        <f>+H26</f>
        <v>0</v>
      </c>
      <c r="O26" s="70"/>
      <c r="P26" s="53"/>
      <c r="Q26" s="53"/>
      <c r="R26" s="43"/>
      <c r="S26" s="53">
        <f t="shared" si="2"/>
        <v>3.766</v>
      </c>
      <c r="T26" s="1"/>
    </row>
    <row r="27" spans="2:20" ht="15.75">
      <c r="B27" s="201">
        <f t="shared" si="3"/>
        <v>17</v>
      </c>
      <c r="C27" s="205" t="s">
        <v>32</v>
      </c>
      <c r="D27" s="206" t="s">
        <v>176</v>
      </c>
      <c r="E27" s="207" t="s">
        <v>316</v>
      </c>
      <c r="F27" s="321">
        <v>706</v>
      </c>
      <c r="G27" s="403">
        <v>2.16</v>
      </c>
      <c r="H27" s="403">
        <v>0.519</v>
      </c>
      <c r="I27" s="403">
        <v>0</v>
      </c>
      <c r="J27" s="403">
        <f t="shared" si="0"/>
        <v>2.6790000000000003</v>
      </c>
      <c r="K27" s="450">
        <v>0.25</v>
      </c>
      <c r="L27" s="306">
        <f t="shared" si="1"/>
        <v>1</v>
      </c>
      <c r="M27" s="178"/>
      <c r="N27" s="179"/>
      <c r="O27" s="84"/>
      <c r="P27" s="70"/>
      <c r="Q27" s="70"/>
      <c r="R27" s="43"/>
      <c r="S27" s="53">
        <f t="shared" si="2"/>
        <v>10.716000000000001</v>
      </c>
      <c r="T27" s="1"/>
    </row>
    <row r="28" spans="2:20" ht="15.75">
      <c r="B28" s="201">
        <f t="shared" si="3"/>
        <v>18</v>
      </c>
      <c r="C28" s="205" t="s">
        <v>12</v>
      </c>
      <c r="D28" s="206" t="s">
        <v>114</v>
      </c>
      <c r="E28" s="207" t="s">
        <v>316</v>
      </c>
      <c r="F28" s="321">
        <v>472</v>
      </c>
      <c r="G28" s="403">
        <v>0.372</v>
      </c>
      <c r="H28" s="403">
        <v>0</v>
      </c>
      <c r="I28" s="403">
        <v>0.465</v>
      </c>
      <c r="J28" s="403">
        <f t="shared" si="0"/>
        <v>0.837</v>
      </c>
      <c r="K28" s="450">
        <v>0.4</v>
      </c>
      <c r="L28" s="306">
        <f t="shared" si="1"/>
        <v>1</v>
      </c>
      <c r="M28" s="88"/>
      <c r="N28" s="92"/>
      <c r="O28" s="70"/>
      <c r="P28" s="70"/>
      <c r="Q28" s="70"/>
      <c r="R28" s="43"/>
      <c r="S28" s="53">
        <f t="shared" si="2"/>
        <v>2.0925</v>
      </c>
      <c r="T28" s="1"/>
    </row>
    <row r="29" spans="2:20" ht="15.75">
      <c r="B29" s="201">
        <f t="shared" si="3"/>
        <v>19</v>
      </c>
      <c r="C29" s="205" t="s">
        <v>12</v>
      </c>
      <c r="D29" s="206" t="s">
        <v>115</v>
      </c>
      <c r="E29" s="207" t="s">
        <v>316</v>
      </c>
      <c r="F29" s="321">
        <v>113</v>
      </c>
      <c r="G29" s="403">
        <v>0.4</v>
      </c>
      <c r="H29" s="404">
        <v>0.125</v>
      </c>
      <c r="I29" s="403">
        <v>0</v>
      </c>
      <c r="J29" s="403">
        <f t="shared" si="0"/>
        <v>0.525</v>
      </c>
      <c r="K29" s="450">
        <v>0.11</v>
      </c>
      <c r="L29" s="306">
        <f t="shared" si="1"/>
        <v>1</v>
      </c>
      <c r="M29" s="88">
        <f aca="true" t="shared" si="4" ref="M29:M48">+K29*0.1+K29</f>
        <v>0.121</v>
      </c>
      <c r="N29" s="92">
        <f>+I29</f>
        <v>0</v>
      </c>
      <c r="O29" s="70"/>
      <c r="P29" s="70"/>
      <c r="Q29" s="70"/>
      <c r="R29" s="43"/>
      <c r="S29" s="53">
        <f t="shared" si="2"/>
        <v>4.7727272727272725</v>
      </c>
      <c r="T29" s="1"/>
    </row>
    <row r="30" spans="2:20" ht="15.75">
      <c r="B30" s="201">
        <f t="shared" si="3"/>
        <v>20</v>
      </c>
      <c r="C30" s="205" t="s">
        <v>32</v>
      </c>
      <c r="D30" s="206" t="s">
        <v>165</v>
      </c>
      <c r="E30" s="207" t="s">
        <v>264</v>
      </c>
      <c r="F30" s="321">
        <v>149</v>
      </c>
      <c r="G30" s="403">
        <v>0</v>
      </c>
      <c r="H30" s="403">
        <v>0.465</v>
      </c>
      <c r="I30" s="403">
        <v>0</v>
      </c>
      <c r="J30" s="403">
        <f t="shared" si="0"/>
        <v>0.465</v>
      </c>
      <c r="K30" s="450">
        <v>0.2</v>
      </c>
      <c r="L30" s="306">
        <f t="shared" si="1"/>
        <v>1</v>
      </c>
      <c r="M30" s="88">
        <f t="shared" si="4"/>
        <v>0.22000000000000003</v>
      </c>
      <c r="N30" s="92"/>
      <c r="O30" s="70"/>
      <c r="P30" s="70"/>
      <c r="Q30" s="70"/>
      <c r="R30" s="43"/>
      <c r="S30" s="53">
        <f t="shared" si="2"/>
        <v>2.325</v>
      </c>
      <c r="T30" s="1"/>
    </row>
    <row r="31" spans="2:20" ht="15.75">
      <c r="B31" s="201">
        <f t="shared" si="3"/>
        <v>21</v>
      </c>
      <c r="C31" s="205" t="s">
        <v>29</v>
      </c>
      <c r="D31" s="206" t="s">
        <v>136</v>
      </c>
      <c r="E31" s="207" t="s">
        <v>317</v>
      </c>
      <c r="F31" s="321">
        <v>753</v>
      </c>
      <c r="G31" s="403">
        <v>1.125</v>
      </c>
      <c r="H31" s="403">
        <v>0.164</v>
      </c>
      <c r="I31" s="403">
        <v>0.262</v>
      </c>
      <c r="J31" s="403">
        <f t="shared" si="0"/>
        <v>1.551</v>
      </c>
      <c r="K31" s="450">
        <v>0.527</v>
      </c>
      <c r="L31" s="306">
        <f>IF(K31=0,0,(IF(J31/K31&gt;1,1,J31/K31)))</f>
        <v>1</v>
      </c>
      <c r="M31" s="88">
        <f t="shared" si="4"/>
        <v>0.5797</v>
      </c>
      <c r="N31" s="92">
        <f>+H31+I31</f>
        <v>0.42600000000000005</v>
      </c>
      <c r="O31" s="70"/>
      <c r="P31" s="53"/>
      <c r="Q31" s="53"/>
      <c r="R31" s="43"/>
      <c r="S31" s="53"/>
      <c r="T31" s="1"/>
    </row>
    <row r="32" spans="2:20" ht="15.75">
      <c r="B32" s="201">
        <f t="shared" si="3"/>
        <v>22</v>
      </c>
      <c r="C32" s="205" t="s">
        <v>29</v>
      </c>
      <c r="D32" s="206" t="s">
        <v>137</v>
      </c>
      <c r="E32" s="207" t="s">
        <v>317</v>
      </c>
      <c r="F32" s="321">
        <v>362</v>
      </c>
      <c r="G32" s="403">
        <v>5.397</v>
      </c>
      <c r="H32" s="403">
        <v>0.149</v>
      </c>
      <c r="I32" s="403">
        <v>0.179</v>
      </c>
      <c r="J32" s="403">
        <f t="shared" si="0"/>
        <v>5.7250000000000005</v>
      </c>
      <c r="K32" s="450">
        <v>0.362</v>
      </c>
      <c r="L32" s="306">
        <f t="shared" si="1"/>
        <v>1</v>
      </c>
      <c r="M32" s="88">
        <f t="shared" si="4"/>
        <v>0.3982</v>
      </c>
      <c r="N32" s="92">
        <f>+I32</f>
        <v>0.179</v>
      </c>
      <c r="O32" s="70"/>
      <c r="P32" s="70"/>
      <c r="Q32" s="70"/>
      <c r="R32" s="43"/>
      <c r="S32" s="53">
        <f t="shared" si="2"/>
        <v>15.814917127071825</v>
      </c>
      <c r="T32" s="1"/>
    </row>
    <row r="33" spans="2:20" ht="15.75">
      <c r="B33" s="201">
        <f t="shared" si="3"/>
        <v>23</v>
      </c>
      <c r="C33" s="205" t="s">
        <v>32</v>
      </c>
      <c r="D33" s="206" t="s">
        <v>244</v>
      </c>
      <c r="E33" s="207" t="s">
        <v>318</v>
      </c>
      <c r="F33" s="321">
        <v>82</v>
      </c>
      <c r="G33" s="403">
        <v>0</v>
      </c>
      <c r="H33" s="403">
        <v>0.107</v>
      </c>
      <c r="I33" s="403">
        <v>0</v>
      </c>
      <c r="J33" s="403">
        <f t="shared" si="0"/>
        <v>0.107</v>
      </c>
      <c r="K33" s="450">
        <v>0.082</v>
      </c>
      <c r="L33" s="306">
        <f t="shared" si="1"/>
        <v>1</v>
      </c>
      <c r="M33" s="88">
        <f t="shared" si="4"/>
        <v>0.0902</v>
      </c>
      <c r="N33" s="92">
        <f>+H33</f>
        <v>0.107</v>
      </c>
      <c r="O33" s="70"/>
      <c r="P33" s="70"/>
      <c r="Q33" s="70"/>
      <c r="R33" s="43"/>
      <c r="S33" s="53">
        <f t="shared" si="2"/>
        <v>1.3048780487804876</v>
      </c>
      <c r="T33" s="1"/>
    </row>
    <row r="34" spans="2:20" ht="15.75">
      <c r="B34" s="201">
        <f t="shared" si="3"/>
        <v>24</v>
      </c>
      <c r="C34" s="205" t="s">
        <v>32</v>
      </c>
      <c r="D34" s="206" t="s">
        <v>116</v>
      </c>
      <c r="E34" s="207" t="s">
        <v>319</v>
      </c>
      <c r="F34" s="321">
        <v>179</v>
      </c>
      <c r="G34" s="403">
        <v>0.491</v>
      </c>
      <c r="H34" s="403">
        <v>0</v>
      </c>
      <c r="I34" s="403">
        <v>0.282</v>
      </c>
      <c r="J34" s="403">
        <f>G34+H34+I34</f>
        <v>0.7729999999999999</v>
      </c>
      <c r="K34" s="450">
        <v>0.179</v>
      </c>
      <c r="L34" s="306">
        <f t="shared" si="1"/>
        <v>1</v>
      </c>
      <c r="M34" s="88">
        <f t="shared" si="4"/>
        <v>0.1969</v>
      </c>
      <c r="N34" s="92">
        <f>+I34+H34</f>
        <v>0.282</v>
      </c>
      <c r="O34" s="70"/>
      <c r="P34" s="70"/>
      <c r="Q34" s="70"/>
      <c r="R34" s="43"/>
      <c r="S34" s="53">
        <f t="shared" si="2"/>
        <v>4.318435754189943</v>
      </c>
      <c r="T34" s="1"/>
    </row>
    <row r="35" spans="2:20" ht="15.75">
      <c r="B35" s="201">
        <f t="shared" si="3"/>
        <v>25</v>
      </c>
      <c r="C35" s="205" t="s">
        <v>29</v>
      </c>
      <c r="D35" s="206" t="s">
        <v>117</v>
      </c>
      <c r="E35" s="207" t="s">
        <v>317</v>
      </c>
      <c r="F35" s="321">
        <v>609</v>
      </c>
      <c r="G35" s="403">
        <v>2.516</v>
      </c>
      <c r="H35" s="403">
        <v>0.152</v>
      </c>
      <c r="I35" s="403">
        <v>0.308</v>
      </c>
      <c r="J35" s="403">
        <f>G35+H35+I35</f>
        <v>2.976</v>
      </c>
      <c r="K35" s="450">
        <v>0.46</v>
      </c>
      <c r="L35" s="306">
        <f t="shared" si="1"/>
        <v>1</v>
      </c>
      <c r="M35" s="88"/>
      <c r="N35" s="92"/>
      <c r="O35" s="70"/>
      <c r="P35" s="70"/>
      <c r="Q35" s="70"/>
      <c r="R35" s="43"/>
      <c r="S35" s="53">
        <f t="shared" si="2"/>
        <v>6.469565217391304</v>
      </c>
      <c r="T35" s="1"/>
    </row>
    <row r="36" spans="2:20" ht="15.75">
      <c r="B36" s="201">
        <f t="shared" si="3"/>
        <v>26</v>
      </c>
      <c r="C36" s="205" t="s">
        <v>32</v>
      </c>
      <c r="D36" s="206" t="s">
        <v>118</v>
      </c>
      <c r="E36" s="207" t="s">
        <v>320</v>
      </c>
      <c r="F36" s="321">
        <v>26</v>
      </c>
      <c r="G36" s="403">
        <v>0.343</v>
      </c>
      <c r="H36" s="403">
        <v>0.032</v>
      </c>
      <c r="I36" s="403">
        <v>0</v>
      </c>
      <c r="J36" s="403">
        <f t="shared" si="0"/>
        <v>0.375</v>
      </c>
      <c r="K36" s="450">
        <v>0.026</v>
      </c>
      <c r="L36" s="306">
        <f t="shared" si="1"/>
        <v>1</v>
      </c>
      <c r="M36" s="88">
        <f t="shared" si="4"/>
        <v>0.0286</v>
      </c>
      <c r="N36" s="92">
        <f>+H36</f>
        <v>0.032</v>
      </c>
      <c r="O36" s="70"/>
      <c r="P36" s="70"/>
      <c r="Q36" s="70"/>
      <c r="R36" s="43"/>
      <c r="S36" s="53"/>
      <c r="T36" s="1"/>
    </row>
    <row r="37" spans="2:20" ht="15.75">
      <c r="B37" s="201">
        <f t="shared" si="3"/>
        <v>27</v>
      </c>
      <c r="C37" s="205" t="s">
        <v>32</v>
      </c>
      <c r="D37" s="206" t="s">
        <v>119</v>
      </c>
      <c r="E37" s="207" t="s">
        <v>321</v>
      </c>
      <c r="F37" s="321">
        <v>66</v>
      </c>
      <c r="G37" s="403">
        <v>0.75</v>
      </c>
      <c r="H37" s="403">
        <v>0</v>
      </c>
      <c r="I37" s="404">
        <v>0.496</v>
      </c>
      <c r="J37" s="403">
        <f t="shared" si="0"/>
        <v>1.246</v>
      </c>
      <c r="K37" s="450">
        <v>0.062</v>
      </c>
      <c r="L37" s="306">
        <f t="shared" si="1"/>
        <v>1</v>
      </c>
      <c r="M37" s="88">
        <f t="shared" si="4"/>
        <v>0.0682</v>
      </c>
      <c r="N37" s="92">
        <f>+I37</f>
        <v>0.496</v>
      </c>
      <c r="O37" s="70"/>
      <c r="P37" s="70"/>
      <c r="Q37" s="70"/>
      <c r="R37" s="43"/>
      <c r="S37" s="53"/>
      <c r="T37" s="1"/>
    </row>
    <row r="38" spans="2:20" ht="15.75">
      <c r="B38" s="201">
        <f t="shared" si="3"/>
        <v>28</v>
      </c>
      <c r="C38" s="205" t="s">
        <v>32</v>
      </c>
      <c r="D38" s="206" t="s">
        <v>160</v>
      </c>
      <c r="E38" s="207" t="s">
        <v>322</v>
      </c>
      <c r="F38" s="321">
        <v>301</v>
      </c>
      <c r="G38" s="403">
        <v>0.156</v>
      </c>
      <c r="H38" s="403">
        <v>0.325</v>
      </c>
      <c r="I38" s="403">
        <v>0.195</v>
      </c>
      <c r="J38" s="403">
        <f t="shared" si="0"/>
        <v>0.6759999999999999</v>
      </c>
      <c r="K38" s="450">
        <v>0.21</v>
      </c>
      <c r="L38" s="306">
        <f>IF(K38=0,0,(IF(J38/K38&gt;1,1,J38/K38)))</f>
        <v>1</v>
      </c>
      <c r="M38" s="88"/>
      <c r="N38" s="92"/>
      <c r="O38" s="70"/>
      <c r="P38" s="70"/>
      <c r="Q38" s="70"/>
      <c r="R38" s="43"/>
      <c r="S38" s="53">
        <f t="shared" si="2"/>
        <v>3.2190476190476187</v>
      </c>
      <c r="T38" s="1"/>
    </row>
    <row r="39" spans="2:20" ht="15.75">
      <c r="B39" s="201">
        <f t="shared" si="3"/>
        <v>29</v>
      </c>
      <c r="C39" s="205" t="s">
        <v>31</v>
      </c>
      <c r="D39" s="206" t="s">
        <v>156</v>
      </c>
      <c r="E39" s="207" t="s">
        <v>318</v>
      </c>
      <c r="F39" s="321">
        <v>153</v>
      </c>
      <c r="G39" s="403">
        <v>0</v>
      </c>
      <c r="H39" s="403">
        <v>0.065</v>
      </c>
      <c r="I39" s="403">
        <v>0.129</v>
      </c>
      <c r="J39" s="403">
        <f t="shared" si="0"/>
        <v>0.194</v>
      </c>
      <c r="K39" s="450">
        <v>0.13</v>
      </c>
      <c r="L39" s="306">
        <f t="shared" si="1"/>
        <v>1</v>
      </c>
      <c r="M39" s="88">
        <f t="shared" si="4"/>
        <v>0.14300000000000002</v>
      </c>
      <c r="N39" s="92">
        <f>+I39+H39</f>
        <v>0.194</v>
      </c>
      <c r="O39" s="70"/>
      <c r="P39" s="83"/>
      <c r="Q39" s="70"/>
      <c r="R39" s="43"/>
      <c r="S39" s="53">
        <f t="shared" si="2"/>
        <v>1.4923076923076923</v>
      </c>
      <c r="T39" s="1"/>
    </row>
    <row r="40" spans="2:20" ht="15.75">
      <c r="B40" s="201">
        <f t="shared" si="3"/>
        <v>30</v>
      </c>
      <c r="C40" s="205" t="s">
        <v>32</v>
      </c>
      <c r="D40" s="206" t="s">
        <v>155</v>
      </c>
      <c r="E40" s="207" t="s">
        <v>322</v>
      </c>
      <c r="F40" s="321">
        <v>450</v>
      </c>
      <c r="G40" s="403">
        <v>2.134</v>
      </c>
      <c r="H40" s="403">
        <v>0.48</v>
      </c>
      <c r="I40" s="403">
        <v>0</v>
      </c>
      <c r="J40" s="403">
        <f t="shared" si="0"/>
        <v>2.614</v>
      </c>
      <c r="K40" s="450">
        <v>0.315</v>
      </c>
      <c r="L40" s="306">
        <f t="shared" si="1"/>
        <v>1</v>
      </c>
      <c r="M40" s="88">
        <f t="shared" si="4"/>
        <v>0.34650000000000003</v>
      </c>
      <c r="N40" s="92">
        <f>+I40+H40</f>
        <v>0.48</v>
      </c>
      <c r="O40" s="70"/>
      <c r="P40" s="70"/>
      <c r="Q40" s="70"/>
      <c r="R40" s="43"/>
      <c r="S40" s="53"/>
      <c r="T40" s="1"/>
    </row>
    <row r="41" spans="2:20" ht="15.75">
      <c r="B41" s="201">
        <f t="shared" si="3"/>
        <v>31</v>
      </c>
      <c r="C41" s="205" t="s">
        <v>31</v>
      </c>
      <c r="D41" s="208" t="s">
        <v>172</v>
      </c>
      <c r="E41" s="207" t="s">
        <v>322</v>
      </c>
      <c r="F41" s="321">
        <v>112</v>
      </c>
      <c r="G41" s="403">
        <v>9.91</v>
      </c>
      <c r="H41" s="403">
        <v>0.162</v>
      </c>
      <c r="I41" s="403">
        <v>0</v>
      </c>
      <c r="J41" s="403">
        <f t="shared" si="0"/>
        <v>10.072000000000001</v>
      </c>
      <c r="K41" s="450">
        <v>0.112</v>
      </c>
      <c r="L41" s="306">
        <f t="shared" si="1"/>
        <v>1</v>
      </c>
      <c r="M41" s="88"/>
      <c r="N41" s="92"/>
      <c r="O41" s="70"/>
      <c r="P41" s="70"/>
      <c r="Q41" s="70"/>
      <c r="R41" s="43"/>
      <c r="S41" s="53"/>
      <c r="T41" s="1"/>
    </row>
    <row r="42" spans="2:20" ht="15.75">
      <c r="B42" s="201">
        <f t="shared" si="3"/>
        <v>32</v>
      </c>
      <c r="C42" s="205" t="s">
        <v>31</v>
      </c>
      <c r="D42" s="206" t="s">
        <v>173</v>
      </c>
      <c r="E42" s="207" t="s">
        <v>322</v>
      </c>
      <c r="F42" s="321">
        <v>137</v>
      </c>
      <c r="G42" s="403">
        <v>0</v>
      </c>
      <c r="H42" s="403">
        <v>0.37</v>
      </c>
      <c r="I42" s="403">
        <v>0</v>
      </c>
      <c r="J42" s="403">
        <f t="shared" si="0"/>
        <v>0.37</v>
      </c>
      <c r="K42" s="450">
        <v>0.137</v>
      </c>
      <c r="L42" s="306">
        <f t="shared" si="1"/>
        <v>1</v>
      </c>
      <c r="M42" s="88"/>
      <c r="N42" s="92"/>
      <c r="O42" s="70"/>
      <c r="P42" s="70"/>
      <c r="Q42" s="70"/>
      <c r="R42" s="43"/>
      <c r="S42" s="53"/>
      <c r="T42" s="1"/>
    </row>
    <row r="43" spans="2:20" ht="15.75">
      <c r="B43" s="201">
        <f t="shared" si="3"/>
        <v>33</v>
      </c>
      <c r="C43" s="205" t="s">
        <v>32</v>
      </c>
      <c r="D43" s="206" t="s">
        <v>174</v>
      </c>
      <c r="E43" s="207" t="s">
        <v>323</v>
      </c>
      <c r="F43" s="321">
        <v>82</v>
      </c>
      <c r="G43" s="403">
        <v>0.165</v>
      </c>
      <c r="H43" s="403">
        <v>0.026</v>
      </c>
      <c r="I43" s="403">
        <v>0.063</v>
      </c>
      <c r="J43" s="403">
        <f t="shared" si="0"/>
        <v>0.254</v>
      </c>
      <c r="K43" s="450">
        <v>0.07</v>
      </c>
      <c r="L43" s="306">
        <f t="shared" si="1"/>
        <v>1</v>
      </c>
      <c r="M43" s="88">
        <f t="shared" si="4"/>
        <v>0.07700000000000001</v>
      </c>
      <c r="N43" s="92">
        <f>+H43</f>
        <v>0.026</v>
      </c>
      <c r="O43" s="70"/>
      <c r="P43" s="70"/>
      <c r="Q43" s="70"/>
      <c r="R43" s="43"/>
      <c r="S43" s="53">
        <f t="shared" si="2"/>
        <v>3.628571428571428</v>
      </c>
      <c r="T43" s="1"/>
    </row>
    <row r="44" spans="2:20" ht="15.75">
      <c r="B44" s="201">
        <f t="shared" si="3"/>
        <v>34</v>
      </c>
      <c r="C44" s="205" t="s">
        <v>245</v>
      </c>
      <c r="D44" s="206" t="s">
        <v>36</v>
      </c>
      <c r="E44" s="207" t="s">
        <v>314</v>
      </c>
      <c r="F44" s="321">
        <v>1896</v>
      </c>
      <c r="G44" s="403">
        <v>4.75</v>
      </c>
      <c r="H44" s="403">
        <v>1.175</v>
      </c>
      <c r="I44" s="403">
        <v>0</v>
      </c>
      <c r="J44" s="403">
        <f t="shared" si="0"/>
        <v>5.925</v>
      </c>
      <c r="K44" s="450">
        <v>0.65</v>
      </c>
      <c r="L44" s="306">
        <f t="shared" si="1"/>
        <v>1</v>
      </c>
      <c r="M44" s="88">
        <f t="shared" si="4"/>
        <v>0.7150000000000001</v>
      </c>
      <c r="N44" s="92">
        <f>+I44</f>
        <v>0</v>
      </c>
      <c r="O44" s="70"/>
      <c r="P44" s="70"/>
      <c r="Q44" s="70"/>
      <c r="R44" s="43"/>
      <c r="S44" s="53">
        <f t="shared" si="2"/>
        <v>9.115384615384615</v>
      </c>
      <c r="T44" s="1"/>
    </row>
    <row r="45" spans="2:20" ht="15.75">
      <c r="B45" s="201">
        <f t="shared" si="3"/>
        <v>35</v>
      </c>
      <c r="C45" s="205" t="s">
        <v>31</v>
      </c>
      <c r="D45" s="206" t="s">
        <v>37</v>
      </c>
      <c r="E45" s="207" t="s">
        <v>324</v>
      </c>
      <c r="F45" s="321">
        <v>525</v>
      </c>
      <c r="G45" s="403">
        <v>0</v>
      </c>
      <c r="H45" s="403">
        <v>0</v>
      </c>
      <c r="I45" s="403">
        <v>0.808</v>
      </c>
      <c r="J45" s="403">
        <f t="shared" si="0"/>
        <v>0.808</v>
      </c>
      <c r="K45" s="450">
        <v>0.475</v>
      </c>
      <c r="L45" s="306">
        <f>IF(K45=0,0,(IF(J45/K45&gt;1,1,J45/K45)))</f>
        <v>1</v>
      </c>
      <c r="M45" s="88">
        <f t="shared" si="4"/>
        <v>0.5225</v>
      </c>
      <c r="N45" s="92">
        <f>+H45</f>
        <v>0</v>
      </c>
      <c r="O45" s="70"/>
      <c r="P45" s="70"/>
      <c r="Q45" s="70"/>
      <c r="R45" s="43"/>
      <c r="S45" s="53">
        <f t="shared" si="2"/>
        <v>1.7010526315789476</v>
      </c>
      <c r="T45" s="1"/>
    </row>
    <row r="46" spans="2:20" ht="15.75">
      <c r="B46" s="201">
        <f t="shared" si="3"/>
        <v>36</v>
      </c>
      <c r="C46" s="205" t="s">
        <v>33</v>
      </c>
      <c r="D46" s="206" t="s">
        <v>34</v>
      </c>
      <c r="E46" s="207" t="s">
        <v>325</v>
      </c>
      <c r="F46" s="321">
        <v>0</v>
      </c>
      <c r="G46" s="403">
        <v>1.265</v>
      </c>
      <c r="H46" s="403">
        <v>0</v>
      </c>
      <c r="I46" s="403">
        <v>1.123</v>
      </c>
      <c r="J46" s="403">
        <f t="shared" si="0"/>
        <v>2.388</v>
      </c>
      <c r="K46" s="450">
        <v>1</v>
      </c>
      <c r="L46" s="306">
        <f t="shared" si="1"/>
        <v>1</v>
      </c>
      <c r="M46" s="88">
        <f t="shared" si="4"/>
        <v>1.1</v>
      </c>
      <c r="N46" s="95"/>
      <c r="O46" s="71"/>
      <c r="P46" s="70"/>
      <c r="Q46" s="70"/>
      <c r="R46" s="43"/>
      <c r="S46" s="53">
        <f t="shared" si="2"/>
        <v>2.388</v>
      </c>
      <c r="T46" s="1"/>
    </row>
    <row r="47" spans="2:20" ht="15.75">
      <c r="B47" s="201">
        <f t="shared" si="3"/>
        <v>37</v>
      </c>
      <c r="C47" s="205" t="s">
        <v>31</v>
      </c>
      <c r="D47" s="206" t="s">
        <v>125</v>
      </c>
      <c r="E47" s="207" t="s">
        <v>326</v>
      </c>
      <c r="F47" s="321">
        <v>379</v>
      </c>
      <c r="G47" s="403">
        <v>9.2</v>
      </c>
      <c r="H47" s="403">
        <v>0.25</v>
      </c>
      <c r="I47" s="404">
        <v>0</v>
      </c>
      <c r="J47" s="403">
        <f t="shared" si="0"/>
        <v>9.45</v>
      </c>
      <c r="K47" s="450">
        <v>0.266</v>
      </c>
      <c r="L47" s="306">
        <f t="shared" si="1"/>
        <v>1</v>
      </c>
      <c r="M47" s="88">
        <f t="shared" si="4"/>
        <v>0.2926</v>
      </c>
      <c r="N47" s="92">
        <f>+H47</f>
        <v>0.25</v>
      </c>
      <c r="O47" s="70"/>
      <c r="P47" s="70"/>
      <c r="Q47" s="70"/>
      <c r="R47" s="43"/>
      <c r="S47" s="53">
        <f t="shared" si="2"/>
        <v>35.52631578947368</v>
      </c>
      <c r="T47" s="1"/>
    </row>
    <row r="48" spans="2:20" ht="15.75">
      <c r="B48" s="201">
        <f t="shared" si="3"/>
        <v>38</v>
      </c>
      <c r="C48" s="205" t="s">
        <v>31</v>
      </c>
      <c r="D48" s="209" t="s">
        <v>126</v>
      </c>
      <c r="E48" s="207" t="s">
        <v>326</v>
      </c>
      <c r="F48" s="321">
        <v>215</v>
      </c>
      <c r="G48" s="403">
        <v>1.209</v>
      </c>
      <c r="H48" s="403">
        <v>0.154</v>
      </c>
      <c r="I48" s="403">
        <v>0.166</v>
      </c>
      <c r="J48" s="403">
        <f t="shared" si="0"/>
        <v>1.529</v>
      </c>
      <c r="K48" s="450">
        <v>0.154</v>
      </c>
      <c r="L48" s="306">
        <f t="shared" si="1"/>
        <v>1</v>
      </c>
      <c r="M48" s="88">
        <f t="shared" si="4"/>
        <v>0.1694</v>
      </c>
      <c r="N48" s="92">
        <f>+I48</f>
        <v>0.166</v>
      </c>
      <c r="O48" s="70"/>
      <c r="P48" s="70"/>
      <c r="Q48" s="70"/>
      <c r="R48" s="43"/>
      <c r="S48" s="53"/>
      <c r="T48" s="1"/>
    </row>
    <row r="49" spans="2:20" ht="15.75">
      <c r="B49" s="201">
        <f t="shared" si="3"/>
        <v>39</v>
      </c>
      <c r="C49" s="205" t="s">
        <v>31</v>
      </c>
      <c r="D49" s="206" t="s">
        <v>127</v>
      </c>
      <c r="E49" s="207" t="s">
        <v>326</v>
      </c>
      <c r="F49" s="321">
        <v>814</v>
      </c>
      <c r="G49" s="403">
        <v>0.684</v>
      </c>
      <c r="H49" s="403">
        <v>0</v>
      </c>
      <c r="I49" s="403">
        <v>0.84</v>
      </c>
      <c r="J49" s="403">
        <f t="shared" si="0"/>
        <v>1.524</v>
      </c>
      <c r="K49" s="450">
        <v>0.275</v>
      </c>
      <c r="L49" s="306">
        <f t="shared" si="1"/>
        <v>1</v>
      </c>
      <c r="M49" s="88"/>
      <c r="N49" s="92"/>
      <c r="O49" s="70"/>
      <c r="P49" s="70"/>
      <c r="Q49" s="70"/>
      <c r="R49" s="43"/>
      <c r="S49" s="53">
        <f t="shared" si="2"/>
        <v>5.541818181818181</v>
      </c>
      <c r="T49" s="1"/>
    </row>
    <row r="50" spans="2:20" ht="15.75">
      <c r="B50" s="201">
        <f t="shared" si="3"/>
        <v>40</v>
      </c>
      <c r="C50" s="205" t="s">
        <v>31</v>
      </c>
      <c r="D50" s="206" t="s">
        <v>128</v>
      </c>
      <c r="E50" s="207" t="s">
        <v>325</v>
      </c>
      <c r="F50" s="321">
        <v>277</v>
      </c>
      <c r="G50" s="403">
        <v>0.666</v>
      </c>
      <c r="H50" s="403">
        <v>0.325</v>
      </c>
      <c r="I50" s="403">
        <v>0</v>
      </c>
      <c r="J50" s="403">
        <f t="shared" si="0"/>
        <v>0.9910000000000001</v>
      </c>
      <c r="K50" s="450">
        <v>0.175</v>
      </c>
      <c r="L50" s="306">
        <f t="shared" si="1"/>
        <v>1</v>
      </c>
      <c r="M50" s="88"/>
      <c r="N50" s="92"/>
      <c r="O50" s="70"/>
      <c r="P50" s="70"/>
      <c r="Q50" s="70"/>
      <c r="R50" s="43"/>
      <c r="S50" s="53"/>
      <c r="T50" s="1"/>
    </row>
    <row r="51" spans="2:20" ht="15.75">
      <c r="B51" s="201">
        <f t="shared" si="3"/>
        <v>41</v>
      </c>
      <c r="C51" s="205" t="s">
        <v>31</v>
      </c>
      <c r="D51" s="206" t="s">
        <v>129</v>
      </c>
      <c r="E51" s="207" t="s">
        <v>327</v>
      </c>
      <c r="F51" s="321">
        <v>61</v>
      </c>
      <c r="G51" s="403">
        <v>0</v>
      </c>
      <c r="H51" s="403">
        <v>0</v>
      </c>
      <c r="I51" s="403">
        <v>0.08</v>
      </c>
      <c r="J51" s="403">
        <f t="shared" si="0"/>
        <v>0.08</v>
      </c>
      <c r="K51" s="450">
        <v>0.05</v>
      </c>
      <c r="L51" s="306">
        <f t="shared" si="1"/>
        <v>1</v>
      </c>
      <c r="M51" s="88">
        <f>+K51*0.1+K51</f>
        <v>0.05500000000000001</v>
      </c>
      <c r="N51" s="94">
        <f>+I51+H51</f>
        <v>0.08</v>
      </c>
      <c r="O51" s="84"/>
      <c r="P51" s="70"/>
      <c r="Q51" s="70"/>
      <c r="R51" s="43"/>
      <c r="S51" s="53"/>
      <c r="T51" s="1"/>
    </row>
    <row r="52" spans="2:20" ht="15.75">
      <c r="B52" s="201">
        <f t="shared" si="3"/>
        <v>42</v>
      </c>
      <c r="C52" s="205" t="s">
        <v>31</v>
      </c>
      <c r="D52" s="206" t="s">
        <v>146</v>
      </c>
      <c r="E52" s="207" t="s">
        <v>305</v>
      </c>
      <c r="F52" s="321">
        <v>984</v>
      </c>
      <c r="G52" s="403">
        <v>0</v>
      </c>
      <c r="H52" s="403">
        <v>0.425</v>
      </c>
      <c r="I52" s="403">
        <v>0</v>
      </c>
      <c r="J52" s="403">
        <f t="shared" si="0"/>
        <v>0.425</v>
      </c>
      <c r="K52" s="450">
        <v>0.45</v>
      </c>
      <c r="L52" s="306">
        <f>IF(K52=0,0,(IF(J52/K52&gt;1,1,J52/K52)))</f>
        <v>0.9444444444444444</v>
      </c>
      <c r="M52" s="88"/>
      <c r="N52" s="92"/>
      <c r="O52" s="70"/>
      <c r="P52" s="70"/>
      <c r="Q52" s="70"/>
      <c r="R52" s="43"/>
      <c r="S52" s="53">
        <f t="shared" si="2"/>
        <v>0.9444444444444444</v>
      </c>
      <c r="T52" s="1"/>
    </row>
    <row r="53" spans="2:20" ht="15.75">
      <c r="B53" s="201">
        <f t="shared" si="3"/>
        <v>43</v>
      </c>
      <c r="C53" s="205" t="s">
        <v>31</v>
      </c>
      <c r="D53" s="206" t="s">
        <v>147</v>
      </c>
      <c r="E53" s="207" t="s">
        <v>305</v>
      </c>
      <c r="F53" s="321">
        <v>647</v>
      </c>
      <c r="G53" s="403">
        <v>0</v>
      </c>
      <c r="H53" s="403">
        <v>0.102</v>
      </c>
      <c r="I53" s="403">
        <v>0.4</v>
      </c>
      <c r="J53" s="403">
        <f t="shared" si="0"/>
        <v>0.502</v>
      </c>
      <c r="K53" s="450">
        <v>0.5</v>
      </c>
      <c r="L53" s="306">
        <f t="shared" si="1"/>
        <v>1</v>
      </c>
      <c r="M53" s="88">
        <f>+K53*0.1+K53</f>
        <v>0.55</v>
      </c>
      <c r="N53" s="92">
        <f>+H53</f>
        <v>0.102</v>
      </c>
      <c r="O53" s="70"/>
      <c r="P53" s="70"/>
      <c r="Q53" s="70"/>
      <c r="R53" s="43"/>
      <c r="S53" s="53"/>
      <c r="T53" s="1"/>
    </row>
    <row r="54" spans="2:20" ht="15.75">
      <c r="B54" s="201">
        <f t="shared" si="3"/>
        <v>44</v>
      </c>
      <c r="C54" s="205" t="s">
        <v>31</v>
      </c>
      <c r="D54" s="206" t="s">
        <v>168</v>
      </c>
      <c r="E54" s="207" t="s">
        <v>265</v>
      </c>
      <c r="F54" s="321">
        <v>287</v>
      </c>
      <c r="G54" s="403">
        <v>0</v>
      </c>
      <c r="H54" s="403">
        <v>0</v>
      </c>
      <c r="I54" s="403">
        <v>0.14</v>
      </c>
      <c r="J54" s="403">
        <f t="shared" si="0"/>
        <v>0.14</v>
      </c>
      <c r="K54" s="450">
        <v>0.15</v>
      </c>
      <c r="L54" s="306">
        <f t="shared" si="1"/>
        <v>0.9333333333333335</v>
      </c>
      <c r="M54" s="88"/>
      <c r="N54" s="92"/>
      <c r="O54" s="70"/>
      <c r="P54" s="70"/>
      <c r="Q54" s="70"/>
      <c r="R54" s="43"/>
      <c r="S54" s="53"/>
      <c r="T54" s="1"/>
    </row>
    <row r="55" spans="2:20" s="148" customFormat="1" ht="22.5" customHeight="1" thickBot="1">
      <c r="B55" s="362"/>
      <c r="C55" s="363"/>
      <c r="D55" s="395"/>
      <c r="E55" s="395"/>
      <c r="F55" s="364">
        <f>SUM(F11:F54)</f>
        <v>45319</v>
      </c>
      <c r="G55" s="398">
        <f>SUM(G11:G54)</f>
        <v>99.42300000000002</v>
      </c>
      <c r="H55" s="398">
        <f>SUM(H11:H54)</f>
        <v>26.311</v>
      </c>
      <c r="I55" s="398">
        <f>SUM(I11:I54)</f>
        <v>14.214000000000002</v>
      </c>
      <c r="J55" s="399">
        <f t="shared" si="0"/>
        <v>139.948</v>
      </c>
      <c r="K55" s="398">
        <f>SUM(K11:K54)</f>
        <v>30.55899999999999</v>
      </c>
      <c r="L55" s="339">
        <f t="shared" si="1"/>
        <v>1</v>
      </c>
      <c r="M55" s="365">
        <f>SUM(L11:L54)/44</f>
        <v>0.9933236208236207</v>
      </c>
      <c r="N55" s="366"/>
      <c r="O55" s="367"/>
      <c r="P55" s="367"/>
      <c r="Q55" s="367"/>
      <c r="R55" s="368"/>
      <c r="S55" s="369">
        <f t="shared" si="2"/>
        <v>4.579600117804904</v>
      </c>
      <c r="T55" s="370"/>
    </row>
    <row r="56" spans="2:20" ht="16.5" thickBot="1">
      <c r="B56" s="182"/>
      <c r="C56" s="182"/>
      <c r="D56" s="182"/>
      <c r="E56" s="182"/>
      <c r="F56" s="316"/>
      <c r="G56" s="182"/>
      <c r="H56" s="182"/>
      <c r="I56" s="182"/>
      <c r="J56" s="182"/>
      <c r="K56" s="182"/>
      <c r="L56" s="182"/>
      <c r="M56" s="96">
        <f>SUM(M11:M53)</f>
        <v>8.486500000000001</v>
      </c>
      <c r="N56" s="96">
        <f>SUM(N11:N53)</f>
        <v>3.514</v>
      </c>
      <c r="O56" s="100"/>
      <c r="P56" s="1"/>
      <c r="Q56" s="1"/>
      <c r="R56" s="1"/>
      <c r="S56" s="1"/>
      <c r="T56" s="1"/>
    </row>
    <row r="57" spans="2:9" ht="16.5" thickBot="1">
      <c r="B57" s="182"/>
      <c r="C57" s="211" t="s">
        <v>177</v>
      </c>
      <c r="D57" s="358"/>
      <c r="E57" s="322" t="s">
        <v>372</v>
      </c>
      <c r="F57" s="212"/>
      <c r="H57" s="390" t="s">
        <v>380</v>
      </c>
      <c r="I57" s="322" t="s">
        <v>376</v>
      </c>
    </row>
    <row r="58" spans="2:9" ht="6.75" customHeight="1" thickBot="1">
      <c r="B58" s="182"/>
      <c r="C58" s="182"/>
      <c r="D58" s="213"/>
      <c r="E58" s="323"/>
      <c r="F58" s="213"/>
      <c r="I58" s="322"/>
    </row>
    <row r="59" spans="2:9" ht="16.5" thickBot="1">
      <c r="B59" s="182"/>
      <c r="C59" s="182"/>
      <c r="D59" s="359"/>
      <c r="E59" s="322" t="s">
        <v>373</v>
      </c>
      <c r="F59" s="213"/>
      <c r="H59" s="390" t="s">
        <v>380</v>
      </c>
      <c r="I59" s="322" t="s">
        <v>377</v>
      </c>
    </row>
    <row r="60" spans="2:9" ht="6.75" customHeight="1" thickBot="1">
      <c r="B60" s="182"/>
      <c r="C60" s="182"/>
      <c r="D60" s="213"/>
      <c r="E60" s="323"/>
      <c r="F60" s="213"/>
      <c r="I60" s="322"/>
    </row>
    <row r="61" spans="2:9" ht="16.5" thickBot="1">
      <c r="B61" s="182"/>
      <c r="C61" s="182"/>
      <c r="D61" s="360"/>
      <c r="E61" s="322" t="s">
        <v>374</v>
      </c>
      <c r="F61" s="213"/>
      <c r="H61" s="390" t="s">
        <v>380</v>
      </c>
      <c r="I61" s="322" t="s">
        <v>378</v>
      </c>
    </row>
    <row r="62" spans="2:9" ht="6.75" customHeight="1" thickBot="1">
      <c r="B62" s="182"/>
      <c r="C62" s="182"/>
      <c r="D62" s="213"/>
      <c r="E62" s="323"/>
      <c r="F62" s="213"/>
      <c r="I62" s="322"/>
    </row>
    <row r="63" spans="2:9" ht="16.5" thickBot="1">
      <c r="B63" s="182"/>
      <c r="C63" s="182"/>
      <c r="D63" s="361"/>
      <c r="E63" s="322" t="s">
        <v>375</v>
      </c>
      <c r="F63" s="213"/>
      <c r="H63" s="390" t="s">
        <v>380</v>
      </c>
      <c r="I63" s="322" t="s">
        <v>379</v>
      </c>
    </row>
    <row r="64" spans="2:12" ht="15.75">
      <c r="B64" s="182"/>
      <c r="C64" s="182"/>
      <c r="D64" s="182"/>
      <c r="E64" s="182"/>
      <c r="F64" s="316"/>
      <c r="G64" s="182"/>
      <c r="H64" s="182"/>
      <c r="I64" s="182"/>
      <c r="J64" s="182"/>
      <c r="K64" s="182"/>
      <c r="L64" s="182"/>
    </row>
  </sheetData>
  <sheetProtection/>
  <mergeCells count="12">
    <mergeCell ref="B2:L2"/>
    <mergeCell ref="B4:L4"/>
    <mergeCell ref="B6:B8"/>
    <mergeCell ref="D6:D8"/>
    <mergeCell ref="H6:I6"/>
    <mergeCell ref="C10:D10"/>
    <mergeCell ref="B3:L3"/>
    <mergeCell ref="C6:C8"/>
    <mergeCell ref="L7:L8"/>
    <mergeCell ref="P18:Q18"/>
    <mergeCell ref="P17:Q17"/>
    <mergeCell ref="M6:M8"/>
  </mergeCells>
  <conditionalFormatting sqref="L11:L54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 verticalCentered="1"/>
  <pageMargins left="0" right="0" top="0" bottom="0.15" header="0.31496062992126" footer="0.31496062992126"/>
  <pageSetup horizontalDpi="300" verticalDpi="300" orientation="portrait" pageOrder="overThenDown" paperSize="9" scale="70" r:id="rId2"/>
  <rowBreaks count="1" manualBreakCount="1">
    <brk id="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5"/>
  <sheetViews>
    <sheetView showGridLines="0" zoomScale="130" zoomScaleNormal="130" zoomScalePageLayoutView="0" workbookViewId="0" topLeftCell="B6">
      <pane xSplit="8280" ySplit="1950" topLeftCell="H4" activePane="bottomRight" state="split"/>
      <selection pane="topLeft" activeCell="K24" sqref="K24"/>
      <selection pane="topRight" activeCell="H6" sqref="H6"/>
      <selection pane="bottomLeft" activeCell="F35" sqref="F35"/>
      <selection pane="bottomRight" activeCell="L28" sqref="L28"/>
    </sheetView>
  </sheetViews>
  <sheetFormatPr defaultColWidth="9.140625" defaultRowHeight="12.75"/>
  <cols>
    <col min="1" max="1" width="9.140625" style="272" customWidth="1"/>
    <col min="2" max="2" width="5.421875" style="272" customWidth="1"/>
    <col min="3" max="3" width="15.7109375" style="272" customWidth="1"/>
    <col min="4" max="4" width="4.57421875" style="272" hidden="1" customWidth="1"/>
    <col min="5" max="5" width="21.8515625" style="272" customWidth="1"/>
    <col min="6" max="6" width="14.00390625" style="272" customWidth="1"/>
    <col min="7" max="7" width="12.8515625" style="340" customWidth="1"/>
    <col min="8" max="8" width="12.8515625" style="272" customWidth="1"/>
    <col min="9" max="9" width="11.00390625" style="272" customWidth="1"/>
    <col min="10" max="10" width="11.140625" style="272" customWidth="1"/>
    <col min="11" max="11" width="12.57421875" style="272" customWidth="1"/>
    <col min="12" max="12" width="11.57421875" style="272" customWidth="1"/>
    <col min="13" max="13" width="12.7109375" style="272" customWidth="1"/>
    <col min="14" max="14" width="12.7109375" style="353" customWidth="1"/>
    <col min="15" max="16" width="12.7109375" style="353" hidden="1" customWidth="1"/>
    <col min="17" max="41" width="0" style="272" hidden="1" customWidth="1"/>
    <col min="42" max="16384" width="9.140625" style="272" customWidth="1"/>
  </cols>
  <sheetData>
    <row r="1" spans="2:16" ht="24.75" customHeight="1">
      <c r="B1" s="182"/>
      <c r="C1" s="182"/>
      <c r="D1" s="182"/>
      <c r="E1" s="182"/>
      <c r="F1" s="182"/>
      <c r="G1" s="325"/>
      <c r="H1" s="220"/>
      <c r="I1" s="220"/>
      <c r="J1" s="220"/>
      <c r="K1" s="220"/>
      <c r="L1" s="220"/>
      <c r="M1" s="182"/>
      <c r="N1" s="261"/>
      <c r="O1" s="261"/>
      <c r="P1" s="261"/>
    </row>
    <row r="2" spans="2:16" ht="21" customHeight="1">
      <c r="B2" s="483" t="s">
        <v>239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260"/>
      <c r="O2" s="260"/>
      <c r="P2" s="260"/>
    </row>
    <row r="3" spans="2:16" ht="21" customHeight="1">
      <c r="B3" s="483" t="s">
        <v>389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260"/>
      <c r="O3" s="260"/>
      <c r="P3" s="260"/>
    </row>
    <row r="4" spans="2:16" ht="21" customHeight="1">
      <c r="B4" s="483" t="str">
        <f>'PC-JT-SL'!$B$3:$L$3</f>
        <v>MINGGU ke VI MARET ( Tgl. 27 MARET s/d  2  April  2018 )  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260"/>
      <c r="O4" s="260"/>
      <c r="P4" s="260"/>
    </row>
    <row r="5" spans="2:16" ht="21" customHeight="1" thickBot="1">
      <c r="B5" s="182" t="s">
        <v>72</v>
      </c>
      <c r="C5" s="182"/>
      <c r="D5" s="182"/>
      <c r="E5" s="182"/>
      <c r="F5" s="182"/>
      <c r="G5" s="316"/>
      <c r="H5" s="182"/>
      <c r="I5" s="182"/>
      <c r="J5" s="182"/>
      <c r="K5" s="182"/>
      <c r="L5" s="182"/>
      <c r="M5" s="182"/>
      <c r="N5" s="261"/>
      <c r="O5" s="261"/>
      <c r="P5" s="261"/>
    </row>
    <row r="6" spans="2:16" ht="21" customHeight="1">
      <c r="B6" s="492" t="s">
        <v>0</v>
      </c>
      <c r="C6" s="484" t="s">
        <v>263</v>
      </c>
      <c r="D6" s="504"/>
      <c r="E6" s="494" t="s">
        <v>4</v>
      </c>
      <c r="F6" s="341"/>
      <c r="G6" s="317" t="s">
        <v>51</v>
      </c>
      <c r="H6" s="341" t="s">
        <v>57</v>
      </c>
      <c r="I6" s="496" t="s">
        <v>54</v>
      </c>
      <c r="J6" s="496"/>
      <c r="K6" s="341" t="s">
        <v>57</v>
      </c>
      <c r="L6" s="185" t="s">
        <v>57</v>
      </c>
      <c r="M6" s="186" t="s">
        <v>60</v>
      </c>
      <c r="N6" s="262"/>
      <c r="O6" s="262"/>
      <c r="P6" s="262"/>
    </row>
    <row r="7" spans="2:16" ht="21" customHeight="1">
      <c r="B7" s="493"/>
      <c r="C7" s="485"/>
      <c r="D7" s="485"/>
      <c r="E7" s="495"/>
      <c r="F7" s="342" t="s">
        <v>58</v>
      </c>
      <c r="G7" s="318" t="s">
        <v>52</v>
      </c>
      <c r="H7" s="342" t="s">
        <v>62</v>
      </c>
      <c r="I7" s="188" t="s">
        <v>55</v>
      </c>
      <c r="J7" s="189" t="s">
        <v>56</v>
      </c>
      <c r="K7" s="342" t="s">
        <v>58</v>
      </c>
      <c r="L7" s="190" t="s">
        <v>262</v>
      </c>
      <c r="M7" s="486" t="s">
        <v>61</v>
      </c>
      <c r="N7" s="263"/>
      <c r="O7" s="263"/>
      <c r="P7" s="263"/>
    </row>
    <row r="8" spans="2:16" ht="21" customHeight="1">
      <c r="B8" s="493"/>
      <c r="C8" s="485"/>
      <c r="D8" s="485"/>
      <c r="E8" s="495"/>
      <c r="F8" s="343"/>
      <c r="G8" s="319" t="s">
        <v>53</v>
      </c>
      <c r="H8" s="343" t="s">
        <v>368</v>
      </c>
      <c r="I8" s="193" t="s">
        <v>367</v>
      </c>
      <c r="J8" s="194" t="s">
        <v>367</v>
      </c>
      <c r="K8" s="343" t="s">
        <v>368</v>
      </c>
      <c r="L8" s="195" t="s">
        <v>367</v>
      </c>
      <c r="M8" s="487"/>
      <c r="N8" s="264"/>
      <c r="O8" s="264"/>
      <c r="P8" s="264"/>
    </row>
    <row r="9" spans="2:16" ht="21" customHeight="1" thickBot="1">
      <c r="B9" s="245">
        <v>1</v>
      </c>
      <c r="C9" s="246">
        <v>2</v>
      </c>
      <c r="D9" s="246"/>
      <c r="E9" s="246">
        <v>3</v>
      </c>
      <c r="F9" s="246">
        <v>4</v>
      </c>
      <c r="G9" s="326">
        <v>5</v>
      </c>
      <c r="H9" s="246">
        <v>5</v>
      </c>
      <c r="I9" s="246">
        <v>6</v>
      </c>
      <c r="J9" s="246">
        <v>7</v>
      </c>
      <c r="K9" s="246" t="s">
        <v>64</v>
      </c>
      <c r="L9" s="246">
        <v>9</v>
      </c>
      <c r="M9" s="247">
        <v>10</v>
      </c>
      <c r="N9" s="262"/>
      <c r="O9" s="262"/>
      <c r="P9" s="262"/>
    </row>
    <row r="10" spans="2:16" ht="27" customHeight="1" thickBot="1">
      <c r="B10" s="225" t="s">
        <v>81</v>
      </c>
      <c r="C10" s="500" t="s">
        <v>82</v>
      </c>
      <c r="D10" s="500"/>
      <c r="E10" s="500"/>
      <c r="F10" s="295"/>
      <c r="G10" s="327"/>
      <c r="H10" s="501"/>
      <c r="I10" s="500"/>
      <c r="J10" s="500"/>
      <c r="K10" s="500"/>
      <c r="L10" s="227"/>
      <c r="M10" s="241"/>
      <c r="N10" s="348"/>
      <c r="O10" s="348"/>
      <c r="P10" s="348"/>
    </row>
    <row r="11" spans="2:42" ht="21" customHeight="1">
      <c r="B11" s="228">
        <v>1</v>
      </c>
      <c r="C11" s="248" t="s">
        <v>16</v>
      </c>
      <c r="D11" s="229"/>
      <c r="E11" s="248" t="s">
        <v>17</v>
      </c>
      <c r="F11" s="249" t="s">
        <v>328</v>
      </c>
      <c r="G11" s="328">
        <v>1448</v>
      </c>
      <c r="H11" s="406">
        <v>11.819</v>
      </c>
      <c r="I11" s="406">
        <v>2.27</v>
      </c>
      <c r="J11" s="406">
        <v>0</v>
      </c>
      <c r="K11" s="408">
        <f>H11+I11+J11</f>
        <v>14.089</v>
      </c>
      <c r="L11" s="461">
        <v>2.27</v>
      </c>
      <c r="M11" s="250">
        <f>IF(L11=0,0,(IF(K11/L11&gt;1,1,K11/L11)))</f>
        <v>1</v>
      </c>
      <c r="N11" s="371"/>
      <c r="O11" s="347"/>
      <c r="P11" s="347"/>
      <c r="AP11" s="371" t="s">
        <v>384</v>
      </c>
    </row>
    <row r="12" spans="2:16" ht="21" customHeight="1">
      <c r="B12" s="201">
        <f>+B11+1</f>
        <v>2</v>
      </c>
      <c r="C12" s="206" t="s">
        <v>40</v>
      </c>
      <c r="D12" s="294"/>
      <c r="E12" s="206" t="s">
        <v>63</v>
      </c>
      <c r="F12" s="222" t="s">
        <v>329</v>
      </c>
      <c r="G12" s="321">
        <v>1227</v>
      </c>
      <c r="H12" s="409">
        <v>3.374</v>
      </c>
      <c r="I12" s="408">
        <v>0.727</v>
      </c>
      <c r="J12" s="408">
        <v>0.153</v>
      </c>
      <c r="K12" s="408">
        <f aca="true" t="shared" si="0" ref="K12:K48">H12+I12+J12</f>
        <v>4.254</v>
      </c>
      <c r="L12" s="462">
        <v>0.88</v>
      </c>
      <c r="M12" s="240">
        <f>IF(L12=0,0,(IF(K12/L12&gt;1,1,K12/L12)))</f>
        <v>1</v>
      </c>
      <c r="N12" s="347"/>
      <c r="O12" s="347"/>
      <c r="P12" s="347"/>
    </row>
    <row r="13" spans="2:16" ht="21" customHeight="1">
      <c r="B13" s="201">
        <f>+B12+1</f>
        <v>3</v>
      </c>
      <c r="C13" s="206" t="s">
        <v>40</v>
      </c>
      <c r="D13" s="294"/>
      <c r="E13" s="206" t="s">
        <v>163</v>
      </c>
      <c r="F13" s="221" t="s">
        <v>330</v>
      </c>
      <c r="G13" s="321">
        <v>4341</v>
      </c>
      <c r="H13" s="408">
        <v>15.557</v>
      </c>
      <c r="I13" s="410">
        <v>4.571</v>
      </c>
      <c r="J13" s="410">
        <v>0</v>
      </c>
      <c r="K13" s="408">
        <f t="shared" si="0"/>
        <v>20.128</v>
      </c>
      <c r="L13" s="462">
        <v>4.571</v>
      </c>
      <c r="M13" s="240">
        <f aca="true" t="shared" si="1" ref="M13:M28">IF(L13=0,0,(IF(K13/L13&gt;1,1,K13/L13)))</f>
        <v>1</v>
      </c>
      <c r="N13" s="347"/>
      <c r="O13" s="347"/>
      <c r="P13" s="347"/>
    </row>
    <row r="14" spans="2:16" ht="21" customHeight="1">
      <c r="B14" s="201">
        <f>+B13+1</f>
        <v>4</v>
      </c>
      <c r="C14" s="206" t="s">
        <v>40</v>
      </c>
      <c r="D14" s="294"/>
      <c r="E14" s="206" t="s">
        <v>164</v>
      </c>
      <c r="F14" s="221" t="s">
        <v>330</v>
      </c>
      <c r="G14" s="321">
        <v>5126</v>
      </c>
      <c r="H14" s="408">
        <v>4.039</v>
      </c>
      <c r="I14" s="410">
        <v>6.517</v>
      </c>
      <c r="J14" s="410">
        <v>0</v>
      </c>
      <c r="K14" s="408">
        <f t="shared" si="0"/>
        <v>10.556000000000001</v>
      </c>
      <c r="L14" s="462">
        <v>6.517</v>
      </c>
      <c r="M14" s="240">
        <f t="shared" si="1"/>
        <v>1</v>
      </c>
      <c r="N14" s="347"/>
      <c r="O14" s="347"/>
      <c r="P14" s="347"/>
    </row>
    <row r="15" spans="2:16" ht="21" customHeight="1">
      <c r="B15" s="201">
        <f>+B14+1</f>
        <v>5</v>
      </c>
      <c r="C15" s="206" t="s">
        <v>41</v>
      </c>
      <c r="D15" s="294"/>
      <c r="E15" s="206" t="s">
        <v>42</v>
      </c>
      <c r="F15" s="221" t="s">
        <v>331</v>
      </c>
      <c r="G15" s="321">
        <v>436</v>
      </c>
      <c r="H15" s="408">
        <v>3.231</v>
      </c>
      <c r="I15" s="410">
        <v>0.065</v>
      </c>
      <c r="J15" s="410">
        <v>0.14</v>
      </c>
      <c r="K15" s="408">
        <f t="shared" si="0"/>
        <v>3.436</v>
      </c>
      <c r="L15" s="462">
        <v>0.185</v>
      </c>
      <c r="M15" s="240">
        <f t="shared" si="1"/>
        <v>1</v>
      </c>
      <c r="N15" s="347"/>
      <c r="O15" s="347"/>
      <c r="P15" s="347"/>
    </row>
    <row r="16" spans="2:16" ht="21" customHeight="1">
      <c r="B16" s="201">
        <f>+B15+1</f>
        <v>6</v>
      </c>
      <c r="C16" s="206" t="s">
        <v>41</v>
      </c>
      <c r="D16" s="294"/>
      <c r="E16" s="206" t="s">
        <v>104</v>
      </c>
      <c r="F16" s="221" t="s">
        <v>332</v>
      </c>
      <c r="G16" s="321">
        <v>67</v>
      </c>
      <c r="H16" s="408">
        <v>0.871</v>
      </c>
      <c r="I16" s="410">
        <v>0</v>
      </c>
      <c r="J16" s="410">
        <v>0.025</v>
      </c>
      <c r="K16" s="408">
        <f t="shared" si="0"/>
        <v>0.896</v>
      </c>
      <c r="L16" s="462">
        <v>0.02</v>
      </c>
      <c r="M16" s="240">
        <f t="shared" si="1"/>
        <v>1</v>
      </c>
      <c r="N16" s="347"/>
      <c r="O16" s="347"/>
      <c r="P16" s="347"/>
    </row>
    <row r="17" spans="2:16" ht="21" customHeight="1">
      <c r="B17" s="201">
        <f aca="true" t="shared" si="2" ref="B17:B28">+B16+1</f>
        <v>7</v>
      </c>
      <c r="C17" s="206" t="s">
        <v>41</v>
      </c>
      <c r="D17" s="294"/>
      <c r="E17" s="206" t="s">
        <v>105</v>
      </c>
      <c r="F17" s="221" t="s">
        <v>332</v>
      </c>
      <c r="G17" s="321">
        <v>57</v>
      </c>
      <c r="H17" s="408">
        <v>0.832</v>
      </c>
      <c r="I17" s="410">
        <v>0</v>
      </c>
      <c r="J17" s="410">
        <v>0.025</v>
      </c>
      <c r="K17" s="408">
        <f t="shared" si="0"/>
        <v>0.857</v>
      </c>
      <c r="L17" s="462">
        <v>0.02</v>
      </c>
      <c r="M17" s="240">
        <v>1</v>
      </c>
      <c r="N17" s="347"/>
      <c r="O17" s="347"/>
      <c r="P17" s="347"/>
    </row>
    <row r="18" spans="2:16" ht="21" customHeight="1">
      <c r="B18" s="201">
        <f t="shared" si="2"/>
        <v>8</v>
      </c>
      <c r="C18" s="206" t="s">
        <v>41</v>
      </c>
      <c r="D18" s="294"/>
      <c r="E18" s="206" t="s">
        <v>106</v>
      </c>
      <c r="F18" s="221" t="s">
        <v>331</v>
      </c>
      <c r="G18" s="321">
        <v>48</v>
      </c>
      <c r="H18" s="408">
        <v>0.73</v>
      </c>
      <c r="I18" s="410">
        <v>0.01</v>
      </c>
      <c r="J18" s="410">
        <v>0.025</v>
      </c>
      <c r="K18" s="408">
        <f t="shared" si="0"/>
        <v>0.765</v>
      </c>
      <c r="L18" s="462">
        <v>0.03</v>
      </c>
      <c r="M18" s="240">
        <f t="shared" si="1"/>
        <v>1</v>
      </c>
      <c r="N18" s="347"/>
      <c r="O18" s="347"/>
      <c r="P18" s="347"/>
    </row>
    <row r="19" spans="2:16" ht="21" customHeight="1">
      <c r="B19" s="201">
        <f t="shared" si="2"/>
        <v>9</v>
      </c>
      <c r="C19" s="206" t="s">
        <v>41</v>
      </c>
      <c r="D19" s="294"/>
      <c r="E19" s="206" t="s">
        <v>107</v>
      </c>
      <c r="F19" s="221" t="s">
        <v>331</v>
      </c>
      <c r="G19" s="321">
        <v>264</v>
      </c>
      <c r="H19" s="408">
        <v>0.798</v>
      </c>
      <c r="I19" s="410">
        <v>0.055</v>
      </c>
      <c r="J19" s="410">
        <v>0.065</v>
      </c>
      <c r="K19" s="408">
        <f t="shared" si="0"/>
        <v>0.9180000000000001</v>
      </c>
      <c r="L19" s="462">
        <v>0.115</v>
      </c>
      <c r="M19" s="240">
        <f t="shared" si="1"/>
        <v>1</v>
      </c>
      <c r="N19" s="347"/>
      <c r="O19" s="347"/>
      <c r="P19" s="347"/>
    </row>
    <row r="20" spans="2:16" ht="21" customHeight="1">
      <c r="B20" s="201">
        <f t="shared" si="2"/>
        <v>10</v>
      </c>
      <c r="C20" s="206" t="s">
        <v>41</v>
      </c>
      <c r="D20" s="294"/>
      <c r="E20" s="206" t="s">
        <v>43</v>
      </c>
      <c r="F20" s="221" t="s">
        <v>333</v>
      </c>
      <c r="G20" s="321">
        <v>1607</v>
      </c>
      <c r="H20" s="408">
        <v>6.335</v>
      </c>
      <c r="I20" s="410">
        <v>1.405</v>
      </c>
      <c r="J20" s="410">
        <v>0</v>
      </c>
      <c r="K20" s="408">
        <f t="shared" si="0"/>
        <v>7.74</v>
      </c>
      <c r="L20" s="462">
        <v>1.405</v>
      </c>
      <c r="M20" s="240">
        <f t="shared" si="1"/>
        <v>1</v>
      </c>
      <c r="N20" s="347"/>
      <c r="O20" s="347"/>
      <c r="P20" s="347"/>
    </row>
    <row r="21" spans="2:16" ht="21" customHeight="1">
      <c r="B21" s="201">
        <f t="shared" si="2"/>
        <v>11</v>
      </c>
      <c r="C21" s="206" t="s">
        <v>41</v>
      </c>
      <c r="D21" s="294"/>
      <c r="E21" s="206" t="s">
        <v>240</v>
      </c>
      <c r="F21" s="221" t="s">
        <v>334</v>
      </c>
      <c r="G21" s="321">
        <v>3500</v>
      </c>
      <c r="H21" s="408">
        <v>0</v>
      </c>
      <c r="I21" s="410">
        <v>0</v>
      </c>
      <c r="J21" s="410">
        <v>3.261</v>
      </c>
      <c r="K21" s="408">
        <f t="shared" si="0"/>
        <v>3.261</v>
      </c>
      <c r="L21" s="462">
        <v>3.261</v>
      </c>
      <c r="M21" s="240">
        <f t="shared" si="1"/>
        <v>1</v>
      </c>
      <c r="N21" s="347"/>
      <c r="O21" s="347"/>
      <c r="P21" s="347"/>
    </row>
    <row r="22" spans="2:16" ht="21" customHeight="1">
      <c r="B22" s="201">
        <f t="shared" si="2"/>
        <v>12</v>
      </c>
      <c r="C22" s="206" t="s">
        <v>41</v>
      </c>
      <c r="D22" s="294"/>
      <c r="E22" s="206" t="s">
        <v>241</v>
      </c>
      <c r="F22" s="221" t="s">
        <v>334</v>
      </c>
      <c r="G22" s="321">
        <v>8000</v>
      </c>
      <c r="H22" s="408">
        <v>0</v>
      </c>
      <c r="I22" s="410">
        <v>8.37</v>
      </c>
      <c r="J22" s="410">
        <v>0</v>
      </c>
      <c r="K22" s="408">
        <f t="shared" si="0"/>
        <v>8.37</v>
      </c>
      <c r="L22" s="462">
        <v>8.37</v>
      </c>
      <c r="M22" s="240">
        <f t="shared" si="1"/>
        <v>1</v>
      </c>
      <c r="N22" s="347"/>
      <c r="O22" s="347"/>
      <c r="P22" s="347"/>
    </row>
    <row r="23" spans="2:16" ht="21" customHeight="1">
      <c r="B23" s="201">
        <f t="shared" si="2"/>
        <v>13</v>
      </c>
      <c r="C23" s="206" t="s">
        <v>41</v>
      </c>
      <c r="D23" s="294"/>
      <c r="E23" s="206" t="s">
        <v>242</v>
      </c>
      <c r="F23" s="221" t="s">
        <v>335</v>
      </c>
      <c r="G23" s="321">
        <v>8295</v>
      </c>
      <c r="H23" s="408">
        <v>13.369</v>
      </c>
      <c r="I23" s="410">
        <v>0</v>
      </c>
      <c r="J23" s="410">
        <v>0</v>
      </c>
      <c r="K23" s="408">
        <f t="shared" si="0"/>
        <v>13.369</v>
      </c>
      <c r="L23" s="462">
        <v>0</v>
      </c>
      <c r="M23" s="240">
        <f t="shared" si="1"/>
        <v>0</v>
      </c>
      <c r="N23" s="347"/>
      <c r="O23" s="347"/>
      <c r="P23" s="347"/>
    </row>
    <row r="24" spans="2:16" ht="21" customHeight="1">
      <c r="B24" s="201">
        <f t="shared" si="2"/>
        <v>14</v>
      </c>
      <c r="C24" s="206" t="s">
        <v>45</v>
      </c>
      <c r="D24" s="294"/>
      <c r="E24" s="206" t="s">
        <v>46</v>
      </c>
      <c r="F24" s="221" t="s">
        <v>336</v>
      </c>
      <c r="G24" s="321">
        <v>271</v>
      </c>
      <c r="H24" s="408">
        <v>10.519</v>
      </c>
      <c r="I24" s="410">
        <v>0.319</v>
      </c>
      <c r="J24" s="410">
        <v>0</v>
      </c>
      <c r="K24" s="408">
        <f t="shared" si="0"/>
        <v>10.838000000000001</v>
      </c>
      <c r="L24" s="462">
        <v>0.319</v>
      </c>
      <c r="M24" s="240">
        <f t="shared" si="1"/>
        <v>1</v>
      </c>
      <c r="N24" s="347"/>
      <c r="O24" s="347"/>
      <c r="P24" s="347"/>
    </row>
    <row r="25" spans="2:16" ht="21" customHeight="1">
      <c r="B25" s="201">
        <f t="shared" si="2"/>
        <v>15</v>
      </c>
      <c r="C25" s="206" t="s">
        <v>47</v>
      </c>
      <c r="D25" s="294"/>
      <c r="E25" s="206" t="s">
        <v>48</v>
      </c>
      <c r="F25" s="221" t="s">
        <v>337</v>
      </c>
      <c r="G25" s="321">
        <v>528</v>
      </c>
      <c r="H25" s="408">
        <v>0.063</v>
      </c>
      <c r="I25" s="410">
        <v>0</v>
      </c>
      <c r="J25" s="410">
        <v>0.642</v>
      </c>
      <c r="K25" s="408">
        <f t="shared" si="0"/>
        <v>0.7050000000000001</v>
      </c>
      <c r="L25" s="462">
        <v>0.642</v>
      </c>
      <c r="M25" s="240">
        <f t="shared" si="1"/>
        <v>1</v>
      </c>
      <c r="N25" s="347"/>
      <c r="O25" s="347"/>
      <c r="P25" s="347"/>
    </row>
    <row r="26" spans="2:16" ht="21" customHeight="1">
      <c r="B26" s="201">
        <f t="shared" si="2"/>
        <v>16</v>
      </c>
      <c r="C26" s="206" t="s">
        <v>47</v>
      </c>
      <c r="D26" s="294"/>
      <c r="E26" s="206" t="s">
        <v>108</v>
      </c>
      <c r="F26" s="221" t="s">
        <v>338</v>
      </c>
      <c r="G26" s="321">
        <v>1093</v>
      </c>
      <c r="H26" s="408">
        <v>0.096</v>
      </c>
      <c r="I26" s="410">
        <v>0.032</v>
      </c>
      <c r="J26" s="410">
        <v>0</v>
      </c>
      <c r="K26" s="408">
        <f t="shared" si="0"/>
        <v>0.128</v>
      </c>
      <c r="L26" s="462">
        <v>0.032</v>
      </c>
      <c r="M26" s="240">
        <f t="shared" si="1"/>
        <v>1</v>
      </c>
      <c r="N26" s="347"/>
      <c r="O26" s="347"/>
      <c r="P26" s="347"/>
    </row>
    <row r="27" spans="2:16" ht="21" customHeight="1">
      <c r="B27" s="201">
        <f t="shared" si="2"/>
        <v>17</v>
      </c>
      <c r="C27" s="206" t="s">
        <v>47</v>
      </c>
      <c r="D27" s="294"/>
      <c r="E27" s="206" t="s">
        <v>109</v>
      </c>
      <c r="F27" s="221" t="s">
        <v>339</v>
      </c>
      <c r="G27" s="321">
        <v>3329</v>
      </c>
      <c r="H27" s="408">
        <v>2.631</v>
      </c>
      <c r="I27" s="410">
        <v>0</v>
      </c>
      <c r="J27" s="410">
        <v>0</v>
      </c>
      <c r="K27" s="408">
        <f t="shared" si="0"/>
        <v>2.631</v>
      </c>
      <c r="L27" s="462">
        <v>3.677</v>
      </c>
      <c r="M27" s="240">
        <f t="shared" si="1"/>
        <v>0.7155289638292085</v>
      </c>
      <c r="N27" s="347"/>
      <c r="O27" s="347"/>
      <c r="P27" s="347"/>
    </row>
    <row r="28" spans="2:16" ht="21" customHeight="1">
      <c r="B28" s="201">
        <f t="shared" si="2"/>
        <v>18</v>
      </c>
      <c r="C28" s="206" t="s">
        <v>47</v>
      </c>
      <c r="D28" s="294"/>
      <c r="E28" s="206" t="s">
        <v>110</v>
      </c>
      <c r="F28" s="221" t="s">
        <v>340</v>
      </c>
      <c r="G28" s="321">
        <v>508</v>
      </c>
      <c r="H28" s="408">
        <v>8.362</v>
      </c>
      <c r="I28" s="410">
        <v>0.673</v>
      </c>
      <c r="J28" s="410">
        <v>0</v>
      </c>
      <c r="K28" s="408">
        <f>H28+I28</f>
        <v>9.035</v>
      </c>
      <c r="L28" s="462">
        <v>0.673</v>
      </c>
      <c r="M28" s="240">
        <f t="shared" si="1"/>
        <v>1</v>
      </c>
      <c r="N28" s="347"/>
      <c r="O28" s="347"/>
      <c r="P28" s="347"/>
    </row>
    <row r="29" spans="2:16" ht="21" customHeight="1" thickBot="1">
      <c r="B29" s="223"/>
      <c r="C29" s="503" t="s">
        <v>130</v>
      </c>
      <c r="D29" s="503"/>
      <c r="E29" s="503"/>
      <c r="F29" s="224"/>
      <c r="G29" s="329">
        <f aca="true" t="shared" si="3" ref="G29:L29">SUM(G11:G28)</f>
        <v>40145</v>
      </c>
      <c r="H29" s="396">
        <f t="shared" si="3"/>
        <v>82.626</v>
      </c>
      <c r="I29" s="396">
        <f>SUM(I11:I28)</f>
        <v>25.013999999999996</v>
      </c>
      <c r="J29" s="396">
        <f t="shared" si="3"/>
        <v>4.336</v>
      </c>
      <c r="K29" s="396">
        <f>SUM(H29+I29+J29)</f>
        <v>111.976</v>
      </c>
      <c r="L29" s="423">
        <f t="shared" si="3"/>
        <v>32.987</v>
      </c>
      <c r="M29" s="298">
        <f>IF(L29=0,0,(IF(K29/L29&gt;1,1,K29/L29)))</f>
        <v>1</v>
      </c>
      <c r="N29" s="349"/>
      <c r="O29" s="349"/>
      <c r="P29" s="349"/>
    </row>
    <row r="30" spans="2:16" ht="27" customHeight="1" thickBot="1">
      <c r="B30" s="225" t="s">
        <v>83</v>
      </c>
      <c r="C30" s="500" t="s">
        <v>84</v>
      </c>
      <c r="D30" s="500"/>
      <c r="E30" s="500"/>
      <c r="F30" s="226"/>
      <c r="G30" s="327"/>
      <c r="H30" s="300"/>
      <c r="I30" s="299"/>
      <c r="J30" s="299"/>
      <c r="K30" s="411">
        <f t="shared" si="0"/>
        <v>0</v>
      </c>
      <c r="L30" s="402"/>
      <c r="M30" s="301"/>
      <c r="N30" s="349"/>
      <c r="O30" s="349"/>
      <c r="P30" s="349"/>
    </row>
    <row r="31" spans="2:42" ht="21" customHeight="1">
      <c r="B31" s="228">
        <v>1</v>
      </c>
      <c r="C31" s="248" t="s">
        <v>44</v>
      </c>
      <c r="D31" s="229">
        <v>1</v>
      </c>
      <c r="E31" s="248" t="s">
        <v>223</v>
      </c>
      <c r="F31" s="249" t="s">
        <v>336</v>
      </c>
      <c r="G31" s="328">
        <v>5001</v>
      </c>
      <c r="H31" s="405">
        <v>296.33</v>
      </c>
      <c r="I31" s="393"/>
      <c r="J31" s="405">
        <v>9</v>
      </c>
      <c r="K31" s="406">
        <f>H31+I31+J31</f>
        <v>305.33</v>
      </c>
      <c r="L31" s="449">
        <v>9</v>
      </c>
      <c r="M31" s="302">
        <f>IF(L31=0,0,(IF(K31/L31&gt;1,1,K31/L31)))</f>
        <v>1</v>
      </c>
      <c r="N31" s="392"/>
      <c r="O31" s="349"/>
      <c r="P31" s="349"/>
      <c r="AP31" s="272" t="s">
        <v>383</v>
      </c>
    </row>
    <row r="32" spans="2:16" ht="21" customHeight="1">
      <c r="B32" s="201">
        <v>2</v>
      </c>
      <c r="C32" s="206" t="s">
        <v>49</v>
      </c>
      <c r="D32" s="372">
        <f aca="true" t="shared" si="4" ref="D32:D48">+D31+1</f>
        <v>2</v>
      </c>
      <c r="E32" s="206" t="s">
        <v>208</v>
      </c>
      <c r="F32" s="221" t="s">
        <v>341</v>
      </c>
      <c r="G32" s="321">
        <v>3200</v>
      </c>
      <c r="H32" s="303">
        <v>16.11</v>
      </c>
      <c r="I32" s="304">
        <v>5.24</v>
      </c>
      <c r="J32" s="304">
        <v>0.085</v>
      </c>
      <c r="K32" s="297">
        <f t="shared" si="0"/>
        <v>21.435000000000002</v>
      </c>
      <c r="L32" s="450">
        <v>3.192</v>
      </c>
      <c r="M32" s="306">
        <f>IF(L32=0,0,(IF(K32/L32&gt;1,1,K32/L32)))</f>
        <v>1</v>
      </c>
      <c r="N32" s="349"/>
      <c r="O32" s="349"/>
      <c r="P32" s="349"/>
    </row>
    <row r="33" spans="2:16" ht="21" customHeight="1">
      <c r="B33" s="201">
        <v>3</v>
      </c>
      <c r="C33" s="206" t="s">
        <v>44</v>
      </c>
      <c r="D33" s="372">
        <f t="shared" si="4"/>
        <v>3</v>
      </c>
      <c r="E33" s="206" t="s">
        <v>210</v>
      </c>
      <c r="F33" s="221" t="s">
        <v>336</v>
      </c>
      <c r="G33" s="321">
        <v>5863</v>
      </c>
      <c r="H33" s="303">
        <v>44.727</v>
      </c>
      <c r="I33" s="394">
        <v>0</v>
      </c>
      <c r="J33" s="305">
        <v>10</v>
      </c>
      <c r="K33" s="297">
        <f t="shared" si="0"/>
        <v>54.727</v>
      </c>
      <c r="L33" s="450">
        <v>10</v>
      </c>
      <c r="M33" s="306">
        <f>IF(L33=0,0,(IF(K33/L33&gt;1,1,K33/L33)))</f>
        <v>1</v>
      </c>
      <c r="N33" s="349"/>
      <c r="O33" s="349"/>
      <c r="P33" s="349"/>
    </row>
    <row r="34" spans="2:16" ht="21" customHeight="1">
      <c r="B34" s="201">
        <v>4</v>
      </c>
      <c r="C34" s="206" t="s">
        <v>49</v>
      </c>
      <c r="D34" s="372">
        <f t="shared" si="4"/>
        <v>4</v>
      </c>
      <c r="E34" s="206" t="s">
        <v>207</v>
      </c>
      <c r="F34" s="221" t="s">
        <v>336</v>
      </c>
      <c r="G34" s="321">
        <v>20793</v>
      </c>
      <c r="H34" s="303">
        <v>401.39</v>
      </c>
      <c r="I34" s="394">
        <v>0</v>
      </c>
      <c r="J34" s="305">
        <v>21.045</v>
      </c>
      <c r="K34" s="297">
        <f t="shared" si="0"/>
        <v>422.435</v>
      </c>
      <c r="L34" s="450">
        <v>21.045</v>
      </c>
      <c r="M34" s="306">
        <f>IF(L34=0,0,(IF(K34/L34&gt;1,1,K34/L34)))</f>
        <v>1</v>
      </c>
      <c r="N34" s="349"/>
      <c r="O34" s="349"/>
      <c r="P34" s="349"/>
    </row>
    <row r="35" spans="2:16" ht="21" customHeight="1">
      <c r="B35" s="201">
        <v>5</v>
      </c>
      <c r="C35" s="206" t="s">
        <v>50</v>
      </c>
      <c r="D35" s="372">
        <f t="shared" si="4"/>
        <v>5</v>
      </c>
      <c r="E35" s="206" t="s">
        <v>209</v>
      </c>
      <c r="F35" s="221" t="s">
        <v>342</v>
      </c>
      <c r="G35" s="321">
        <v>22417</v>
      </c>
      <c r="H35" s="303">
        <v>0</v>
      </c>
      <c r="I35" s="305">
        <v>0</v>
      </c>
      <c r="J35" s="305">
        <v>0</v>
      </c>
      <c r="K35" s="297">
        <f>H35+I35+J35</f>
        <v>0</v>
      </c>
      <c r="L35" s="450">
        <v>0</v>
      </c>
      <c r="M35" s="306">
        <f aca="true" t="shared" si="5" ref="M35:M43">IF(L35=0,0,(IF(K35/L35&gt;1,1,K35/L35)))</f>
        <v>0</v>
      </c>
      <c r="N35" s="349"/>
      <c r="O35" s="349"/>
      <c r="P35" s="349"/>
    </row>
    <row r="36" spans="2:16" ht="21" customHeight="1">
      <c r="B36" s="201">
        <v>6</v>
      </c>
      <c r="C36" s="206" t="s">
        <v>49</v>
      </c>
      <c r="D36" s="294">
        <f t="shared" si="4"/>
        <v>6</v>
      </c>
      <c r="E36" s="206" t="s">
        <v>238</v>
      </c>
      <c r="F36" s="221" t="s">
        <v>343</v>
      </c>
      <c r="G36" s="321">
        <v>1406</v>
      </c>
      <c r="H36" s="303">
        <v>0.919</v>
      </c>
      <c r="I36" s="394">
        <v>0</v>
      </c>
      <c r="J36" s="305">
        <v>1.519</v>
      </c>
      <c r="K36" s="297">
        <f t="shared" si="0"/>
        <v>2.4379999999999997</v>
      </c>
      <c r="L36" s="450">
        <v>1.589</v>
      </c>
      <c r="M36" s="306">
        <f t="shared" si="5"/>
        <v>1</v>
      </c>
      <c r="N36" s="349"/>
      <c r="O36" s="349"/>
      <c r="P36" s="349"/>
    </row>
    <row r="37" spans="2:16" ht="21" customHeight="1">
      <c r="B37" s="201">
        <v>7</v>
      </c>
      <c r="C37" s="206" t="s">
        <v>49</v>
      </c>
      <c r="D37" s="294">
        <f t="shared" si="4"/>
        <v>7</v>
      </c>
      <c r="E37" s="206" t="s">
        <v>211</v>
      </c>
      <c r="F37" s="221" t="s">
        <v>344</v>
      </c>
      <c r="G37" s="321">
        <v>1128</v>
      </c>
      <c r="H37" s="303">
        <v>0.371</v>
      </c>
      <c r="I37" s="304">
        <v>1.106</v>
      </c>
      <c r="J37" s="394">
        <v>0</v>
      </c>
      <c r="K37" s="297">
        <f t="shared" si="0"/>
        <v>1.477</v>
      </c>
      <c r="L37" s="450">
        <v>1.38</v>
      </c>
      <c r="M37" s="306">
        <f>IF(L37=0,0,(IF(K37/L37&gt;1,1,K37/L37)))</f>
        <v>1</v>
      </c>
      <c r="N37" s="349"/>
      <c r="O37" s="349"/>
      <c r="P37" s="349"/>
    </row>
    <row r="38" spans="2:16" ht="21" customHeight="1">
      <c r="B38" s="201">
        <v>8</v>
      </c>
      <c r="C38" s="206" t="s">
        <v>49</v>
      </c>
      <c r="D38" s="294">
        <f t="shared" si="4"/>
        <v>8</v>
      </c>
      <c r="E38" s="206" t="s">
        <v>212</v>
      </c>
      <c r="F38" s="221" t="s">
        <v>345</v>
      </c>
      <c r="G38" s="321">
        <v>1127</v>
      </c>
      <c r="H38" s="303">
        <v>1.974</v>
      </c>
      <c r="I38" s="305">
        <v>0.656</v>
      </c>
      <c r="J38" s="305">
        <v>1.41</v>
      </c>
      <c r="K38" s="297">
        <f>J38+I38+H38</f>
        <v>4.04</v>
      </c>
      <c r="L38" s="450">
        <v>1.202</v>
      </c>
      <c r="M38" s="306">
        <f>IF(L38=0,0,(IF(K38/L38&gt;1,1,K38/L38)))</f>
        <v>1</v>
      </c>
      <c r="N38" s="349"/>
      <c r="O38" s="349"/>
      <c r="P38" s="349"/>
    </row>
    <row r="39" spans="2:16" ht="21" customHeight="1">
      <c r="B39" s="201">
        <v>9</v>
      </c>
      <c r="C39" s="206" t="s">
        <v>96</v>
      </c>
      <c r="D39" s="294">
        <f t="shared" si="4"/>
        <v>9</v>
      </c>
      <c r="E39" s="206" t="s">
        <v>213</v>
      </c>
      <c r="F39" s="221" t="s">
        <v>346</v>
      </c>
      <c r="G39" s="321">
        <v>1375</v>
      </c>
      <c r="H39" s="303">
        <v>49.902</v>
      </c>
      <c r="I39" s="303">
        <v>1.191</v>
      </c>
      <c r="J39" s="394">
        <v>0</v>
      </c>
      <c r="K39" s="297">
        <f t="shared" si="0"/>
        <v>51.093</v>
      </c>
      <c r="L39" s="450">
        <v>1.191</v>
      </c>
      <c r="M39" s="306">
        <f t="shared" si="5"/>
        <v>1</v>
      </c>
      <c r="N39" s="349"/>
      <c r="O39" s="349"/>
      <c r="P39" s="349"/>
    </row>
    <row r="40" spans="2:16" ht="21" customHeight="1">
      <c r="B40" s="201">
        <v>10</v>
      </c>
      <c r="C40" s="206" t="s">
        <v>96</v>
      </c>
      <c r="D40" s="294">
        <f t="shared" si="4"/>
        <v>10</v>
      </c>
      <c r="E40" s="206" t="s">
        <v>214</v>
      </c>
      <c r="F40" s="221" t="s">
        <v>347</v>
      </c>
      <c r="G40" s="321">
        <v>240</v>
      </c>
      <c r="H40" s="303">
        <v>1.192</v>
      </c>
      <c r="I40" s="305">
        <v>0.029</v>
      </c>
      <c r="J40" s="305">
        <v>0.135</v>
      </c>
      <c r="K40" s="297">
        <f t="shared" si="0"/>
        <v>1.3559999999999999</v>
      </c>
      <c r="L40" s="450">
        <v>0.164</v>
      </c>
      <c r="M40" s="306">
        <f t="shared" si="5"/>
        <v>1</v>
      </c>
      <c r="N40" s="349"/>
      <c r="O40" s="349"/>
      <c r="P40" s="349"/>
    </row>
    <row r="41" spans="2:16" ht="21" customHeight="1">
      <c r="B41" s="201">
        <v>11</v>
      </c>
      <c r="C41" s="206" t="s">
        <v>96</v>
      </c>
      <c r="D41" s="294">
        <f t="shared" si="4"/>
        <v>11</v>
      </c>
      <c r="E41" s="206" t="s">
        <v>247</v>
      </c>
      <c r="F41" s="221" t="s">
        <v>347</v>
      </c>
      <c r="G41" s="321">
        <v>100</v>
      </c>
      <c r="H41" s="303">
        <v>0.834</v>
      </c>
      <c r="I41" s="394">
        <v>0</v>
      </c>
      <c r="J41" s="305">
        <v>0.083</v>
      </c>
      <c r="K41" s="297">
        <f t="shared" si="0"/>
        <v>0.9169999999999999</v>
      </c>
      <c r="L41" s="450">
        <v>0.083</v>
      </c>
      <c r="M41" s="306">
        <f>IF(L41=0,0,(IF(K41/L41&gt;1,1,K41/L41)))</f>
        <v>1</v>
      </c>
      <c r="N41" s="349"/>
      <c r="O41" s="349"/>
      <c r="P41" s="349"/>
    </row>
    <row r="42" spans="2:16" ht="21" customHeight="1">
      <c r="B42" s="201">
        <v>12</v>
      </c>
      <c r="C42" s="206" t="s">
        <v>96</v>
      </c>
      <c r="D42" s="294">
        <f t="shared" si="4"/>
        <v>12</v>
      </c>
      <c r="E42" s="206" t="s">
        <v>215</v>
      </c>
      <c r="F42" s="221" t="s">
        <v>348</v>
      </c>
      <c r="G42" s="321">
        <v>57</v>
      </c>
      <c r="H42" s="303">
        <v>0.161</v>
      </c>
      <c r="I42" s="394">
        <v>0</v>
      </c>
      <c r="J42" s="305">
        <v>0.107</v>
      </c>
      <c r="K42" s="297">
        <f t="shared" si="0"/>
        <v>0.268</v>
      </c>
      <c r="L42" s="450">
        <v>0.107</v>
      </c>
      <c r="M42" s="306">
        <f t="shared" si="5"/>
        <v>1</v>
      </c>
      <c r="N42" s="349"/>
      <c r="O42" s="349"/>
      <c r="P42" s="349"/>
    </row>
    <row r="43" spans="2:16" ht="21" customHeight="1">
      <c r="B43" s="201">
        <v>13</v>
      </c>
      <c r="C43" s="206" t="s">
        <v>49</v>
      </c>
      <c r="D43" s="294">
        <f t="shared" si="4"/>
        <v>13</v>
      </c>
      <c r="E43" s="206" t="s">
        <v>216</v>
      </c>
      <c r="F43" s="221" t="s">
        <v>336</v>
      </c>
      <c r="G43" s="321">
        <v>651</v>
      </c>
      <c r="H43" s="307">
        <v>401.39</v>
      </c>
      <c r="I43" s="394">
        <v>0</v>
      </c>
      <c r="J43" s="305">
        <v>0.32</v>
      </c>
      <c r="K43" s="297">
        <f t="shared" si="0"/>
        <v>401.71</v>
      </c>
      <c r="L43" s="450">
        <v>0.32</v>
      </c>
      <c r="M43" s="306">
        <f t="shared" si="5"/>
        <v>1</v>
      </c>
      <c r="N43" s="349"/>
      <c r="O43" s="349"/>
      <c r="P43" s="349"/>
    </row>
    <row r="44" spans="2:16" ht="21" customHeight="1">
      <c r="B44" s="201">
        <v>14</v>
      </c>
      <c r="C44" s="206" t="s">
        <v>50</v>
      </c>
      <c r="D44" s="294">
        <f t="shared" si="4"/>
        <v>14</v>
      </c>
      <c r="E44" s="206" t="s">
        <v>217</v>
      </c>
      <c r="F44" s="221" t="s">
        <v>349</v>
      </c>
      <c r="G44" s="321">
        <v>1377</v>
      </c>
      <c r="H44" s="303">
        <v>9.28</v>
      </c>
      <c r="I44" s="305">
        <v>0.306</v>
      </c>
      <c r="J44" s="305">
        <v>0.275</v>
      </c>
      <c r="K44" s="297">
        <f t="shared" si="0"/>
        <v>9.860999999999999</v>
      </c>
      <c r="L44" s="450">
        <v>0.235</v>
      </c>
      <c r="M44" s="306">
        <f>IF(L44=0,0,(IF(K44/L44&gt;1,1,K44/L44)))</f>
        <v>1</v>
      </c>
      <c r="N44" s="349"/>
      <c r="O44" s="349"/>
      <c r="P44" s="349"/>
    </row>
    <row r="45" spans="2:16" ht="21" customHeight="1">
      <c r="B45" s="201">
        <v>15</v>
      </c>
      <c r="C45" s="206" t="s">
        <v>44</v>
      </c>
      <c r="D45" s="294">
        <f t="shared" si="4"/>
        <v>15</v>
      </c>
      <c r="E45" s="206" t="s">
        <v>218</v>
      </c>
      <c r="F45" s="221" t="s">
        <v>260</v>
      </c>
      <c r="G45" s="330">
        <v>1119</v>
      </c>
      <c r="H45" s="303">
        <v>14.967</v>
      </c>
      <c r="I45" s="403">
        <v>3.004</v>
      </c>
      <c r="J45" s="394"/>
      <c r="K45" s="297">
        <f t="shared" si="0"/>
        <v>17.971</v>
      </c>
      <c r="L45" s="450">
        <v>3.004</v>
      </c>
      <c r="M45" s="306">
        <f>IF(L45=0,0,(IF(K45/L45&gt;1,1,K45/L45)))</f>
        <v>1</v>
      </c>
      <c r="N45" s="349"/>
      <c r="O45" s="349"/>
      <c r="P45" s="349"/>
    </row>
    <row r="46" spans="2:16" ht="21" customHeight="1">
      <c r="B46" s="201">
        <v>16</v>
      </c>
      <c r="C46" s="206" t="s">
        <v>49</v>
      </c>
      <c r="D46" s="294">
        <f t="shared" si="4"/>
        <v>16</v>
      </c>
      <c r="E46" s="206" t="s">
        <v>219</v>
      </c>
      <c r="F46" s="221" t="s">
        <v>350</v>
      </c>
      <c r="G46" s="321">
        <v>439</v>
      </c>
      <c r="H46" s="303">
        <v>0</v>
      </c>
      <c r="I46" s="305">
        <v>0.108</v>
      </c>
      <c r="J46" s="305">
        <v>0.149</v>
      </c>
      <c r="K46" s="297">
        <f t="shared" si="0"/>
        <v>0.257</v>
      </c>
      <c r="L46" s="450">
        <v>0.257</v>
      </c>
      <c r="M46" s="306">
        <f>IF(L46=0,0,(IF(K46/L46&gt;1,1,K46/L46)))</f>
        <v>1</v>
      </c>
      <c r="N46" s="349"/>
      <c r="O46" s="349"/>
      <c r="P46" s="349"/>
    </row>
    <row r="47" spans="2:16" ht="21" customHeight="1">
      <c r="B47" s="201">
        <v>17</v>
      </c>
      <c r="C47" s="206" t="s">
        <v>50</v>
      </c>
      <c r="D47" s="294">
        <f t="shared" si="4"/>
        <v>17</v>
      </c>
      <c r="E47" s="206" t="s">
        <v>220</v>
      </c>
      <c r="F47" s="221" t="s">
        <v>351</v>
      </c>
      <c r="G47" s="321">
        <v>1386</v>
      </c>
      <c r="H47" s="303">
        <v>2.651</v>
      </c>
      <c r="I47" s="305">
        <v>0</v>
      </c>
      <c r="J47" s="305">
        <v>0.162</v>
      </c>
      <c r="K47" s="297">
        <f t="shared" si="0"/>
        <v>2.8129999999999997</v>
      </c>
      <c r="L47" s="450">
        <v>1.007</v>
      </c>
      <c r="M47" s="306">
        <f>IF(L47=0,0,(IF(K47/L47&gt;1,1,K47/L47)))</f>
        <v>1</v>
      </c>
      <c r="N47" s="349"/>
      <c r="O47" s="349"/>
      <c r="P47" s="349"/>
    </row>
    <row r="48" spans="2:16" ht="21" customHeight="1" thickBot="1">
      <c r="B48" s="223">
        <v>18</v>
      </c>
      <c r="C48" s="230" t="s">
        <v>49</v>
      </c>
      <c r="D48" s="231">
        <f t="shared" si="4"/>
        <v>18</v>
      </c>
      <c r="E48" s="230" t="s">
        <v>221</v>
      </c>
      <c r="F48" s="232" t="s">
        <v>352</v>
      </c>
      <c r="G48" s="329">
        <v>220</v>
      </c>
      <c r="H48" s="414">
        <v>0.1</v>
      </c>
      <c r="I48" s="337">
        <v>0.05</v>
      </c>
      <c r="J48" s="337">
        <v>0.06</v>
      </c>
      <c r="K48" s="297">
        <f t="shared" si="0"/>
        <v>0.21000000000000002</v>
      </c>
      <c r="L48" s="451">
        <v>0</v>
      </c>
      <c r="M48" s="298">
        <f>IF(L48=0,0,(IF(K48/L48&gt;1,1,K48/L48)))</f>
        <v>0</v>
      </c>
      <c r="N48" s="349"/>
      <c r="O48" s="349"/>
      <c r="P48" s="349"/>
    </row>
    <row r="49" spans="2:16" ht="27" customHeight="1">
      <c r="B49" s="233"/>
      <c r="C49" s="242" t="s">
        <v>83</v>
      </c>
      <c r="D49" s="502" t="s">
        <v>134</v>
      </c>
      <c r="E49" s="479"/>
      <c r="F49" s="234"/>
      <c r="G49" s="331">
        <f aca="true" t="shared" si="6" ref="G49:L49">SUM(G31:G48)</f>
        <v>67899</v>
      </c>
      <c r="H49" s="309">
        <f t="shared" si="6"/>
        <v>1242.298</v>
      </c>
      <c r="I49" s="308">
        <f t="shared" si="6"/>
        <v>11.69</v>
      </c>
      <c r="J49" s="308">
        <f t="shared" si="6"/>
        <v>44.349999999999994</v>
      </c>
      <c r="K49" s="308">
        <f t="shared" si="6"/>
        <v>1298.3380000000002</v>
      </c>
      <c r="L49" s="308">
        <f t="shared" si="6"/>
        <v>53.775999999999996</v>
      </c>
      <c r="M49" s="310">
        <f aca="true" t="shared" si="7" ref="M49:M55">IF(L49=0,0,(IF(K49/L49&gt;1,1,K49/L49)))</f>
        <v>1</v>
      </c>
      <c r="N49" s="349"/>
      <c r="O49" s="349"/>
      <c r="P49" s="349"/>
    </row>
    <row r="50" spans="2:16" ht="27" customHeight="1">
      <c r="B50" s="201"/>
      <c r="C50" s="243" t="s">
        <v>81</v>
      </c>
      <c r="D50" s="498" t="s">
        <v>82</v>
      </c>
      <c r="E50" s="499"/>
      <c r="F50" s="215"/>
      <c r="G50" s="321">
        <f aca="true" t="shared" si="8" ref="G50:L50">+G29</f>
        <v>40145</v>
      </c>
      <c r="H50" s="311">
        <f t="shared" si="8"/>
        <v>82.626</v>
      </c>
      <c r="I50" s="296">
        <f t="shared" si="8"/>
        <v>25.013999999999996</v>
      </c>
      <c r="J50" s="296">
        <f t="shared" si="8"/>
        <v>4.336</v>
      </c>
      <c r="K50" s="296">
        <f t="shared" si="8"/>
        <v>111.976</v>
      </c>
      <c r="L50" s="296">
        <f t="shared" si="8"/>
        <v>32.987</v>
      </c>
      <c r="M50" s="306">
        <f t="shared" si="7"/>
        <v>1</v>
      </c>
      <c r="N50" s="349"/>
      <c r="O50" s="349"/>
      <c r="P50" s="349"/>
    </row>
    <row r="51" spans="2:16" ht="27" customHeight="1">
      <c r="B51" s="201"/>
      <c r="C51" s="243" t="s">
        <v>79</v>
      </c>
      <c r="D51" s="498" t="s">
        <v>80</v>
      </c>
      <c r="E51" s="499"/>
      <c r="F51" s="215"/>
      <c r="G51" s="321">
        <f>+'BENG.SOLO'!F55</f>
        <v>45319</v>
      </c>
      <c r="H51" s="311">
        <f>+'BENG.SOLO'!G55</f>
        <v>99.42300000000002</v>
      </c>
      <c r="I51" s="296">
        <f>+'BENG.SOLO'!H55</f>
        <v>26.311</v>
      </c>
      <c r="J51" s="296">
        <f>+'BENG.SOLO'!I55</f>
        <v>14.214000000000002</v>
      </c>
      <c r="K51" s="296">
        <f>+'BENG.SOLO'!J55</f>
        <v>139.948</v>
      </c>
      <c r="L51" s="296">
        <f>+'BENG.SOLO'!K55</f>
        <v>30.55899999999999</v>
      </c>
      <c r="M51" s="306">
        <f t="shared" si="7"/>
        <v>1</v>
      </c>
      <c r="N51" s="349"/>
      <c r="O51" s="349"/>
      <c r="P51" s="349"/>
    </row>
    <row r="52" spans="2:16" ht="27" customHeight="1">
      <c r="B52" s="201"/>
      <c r="C52" s="243" t="s">
        <v>77</v>
      </c>
      <c r="D52" s="498" t="s">
        <v>78</v>
      </c>
      <c r="E52" s="499"/>
      <c r="F52" s="221"/>
      <c r="G52" s="321">
        <f>+'PC-JT-SL'!F69</f>
        <v>89463</v>
      </c>
      <c r="H52" s="307">
        <f>+'PC-JT-SL'!G69</f>
        <v>104.039</v>
      </c>
      <c r="I52" s="296">
        <f>+'PC-JT-SL'!H69</f>
        <v>31.642</v>
      </c>
      <c r="J52" s="296">
        <f>+'PC-JT-SL'!I69</f>
        <v>19.226</v>
      </c>
      <c r="K52" s="296">
        <f>+'PC-JT-SL'!J69</f>
        <v>154.90699999999998</v>
      </c>
      <c r="L52" s="296">
        <f>+'PC-JT-SL'!K69</f>
        <v>67.939</v>
      </c>
      <c r="M52" s="306">
        <f t="shared" si="7"/>
        <v>1</v>
      </c>
      <c r="N52" s="349"/>
      <c r="O52" s="349"/>
      <c r="P52" s="349"/>
    </row>
    <row r="53" spans="2:16" ht="27" customHeight="1">
      <c r="B53" s="201"/>
      <c r="C53" s="243" t="s">
        <v>75</v>
      </c>
      <c r="D53" s="498" t="s">
        <v>388</v>
      </c>
      <c r="E53" s="499"/>
      <c r="F53" s="215"/>
      <c r="G53" s="321">
        <f>+'PC-JT-SL'!F53</f>
        <v>44611</v>
      </c>
      <c r="H53" s="311">
        <f>+'PC-JT-SL'!G53</f>
        <v>87.55100000000002</v>
      </c>
      <c r="I53" s="296">
        <f>+'PC-JT-SL'!H53</f>
        <v>19.502</v>
      </c>
      <c r="J53" s="296">
        <f>+'PC-JT-SL'!I53</f>
        <v>20.462000000000003</v>
      </c>
      <c r="K53" s="296">
        <f>+'PC-JT-SL'!J53</f>
        <v>127.51500000000001</v>
      </c>
      <c r="L53" s="296">
        <f>+'PC-JT-SL'!K53</f>
        <v>39.964</v>
      </c>
      <c r="M53" s="306">
        <f t="shared" si="7"/>
        <v>1</v>
      </c>
      <c r="N53" s="349"/>
      <c r="O53" s="349"/>
      <c r="P53" s="349"/>
    </row>
    <row r="54" spans="2:16" ht="27" customHeight="1">
      <c r="B54" s="201"/>
      <c r="C54" s="243" t="s">
        <v>73</v>
      </c>
      <c r="D54" s="498" t="s">
        <v>74</v>
      </c>
      <c r="E54" s="499"/>
      <c r="F54" s="215"/>
      <c r="G54" s="321">
        <f>+'PC-JT-SL'!F41</f>
        <v>0</v>
      </c>
      <c r="H54" s="311">
        <f>+'PC-JT-SL'!G40</f>
        <v>399.638</v>
      </c>
      <c r="I54" s="296">
        <f>+'PC-JT-SL'!H40</f>
        <v>45.936</v>
      </c>
      <c r="J54" s="296">
        <f>+'PC-JT-SL'!I40</f>
        <v>50.82300000000001</v>
      </c>
      <c r="K54" s="296">
        <f>+'PC-JT-SL'!J40</f>
        <v>496.39699999999993</v>
      </c>
      <c r="L54" s="296">
        <f>+'PC-JT-SL'!K40</f>
        <v>151.74799999999993</v>
      </c>
      <c r="M54" s="306">
        <f t="shared" si="7"/>
        <v>1</v>
      </c>
      <c r="N54" s="349"/>
      <c r="O54" s="349"/>
      <c r="P54" s="349"/>
    </row>
    <row r="55" spans="2:16" ht="33" customHeight="1" thickBot="1">
      <c r="B55" s="210"/>
      <c r="C55" s="497" t="s">
        <v>97</v>
      </c>
      <c r="D55" s="497"/>
      <c r="E55" s="497"/>
      <c r="F55" s="235"/>
      <c r="G55" s="332">
        <f aca="true" t="shared" si="9" ref="G55:L55">SUM(G49:G54)</f>
        <v>287437</v>
      </c>
      <c r="H55" s="313">
        <f t="shared" si="9"/>
        <v>2015.5749999999998</v>
      </c>
      <c r="I55" s="312">
        <f t="shared" si="9"/>
        <v>160.095</v>
      </c>
      <c r="J55" s="312">
        <f t="shared" si="9"/>
        <v>153.411</v>
      </c>
      <c r="K55" s="312">
        <f t="shared" si="9"/>
        <v>2329.081</v>
      </c>
      <c r="L55" s="312">
        <f t="shared" si="9"/>
        <v>376.97299999999996</v>
      </c>
      <c r="M55" s="339">
        <f t="shared" si="7"/>
        <v>1</v>
      </c>
      <c r="N55" s="350"/>
      <c r="O55" s="350"/>
      <c r="P55" s="350"/>
    </row>
    <row r="56" spans="2:16" ht="18.75" customHeight="1" thickBot="1">
      <c r="B56" s="236"/>
      <c r="C56" s="244"/>
      <c r="D56" s="182"/>
      <c r="E56" s="237"/>
      <c r="F56" s="237"/>
      <c r="G56" s="333"/>
      <c r="H56" s="182"/>
      <c r="I56" s="238"/>
      <c r="J56" s="182"/>
      <c r="K56" s="182"/>
      <c r="L56" s="182"/>
      <c r="M56" s="239"/>
      <c r="N56" s="351"/>
      <c r="O56" s="351"/>
      <c r="P56" s="351"/>
    </row>
    <row r="57" spans="2:16" ht="16.5" customHeight="1" thickBot="1">
      <c r="B57" s="236"/>
      <c r="E57" s="354"/>
      <c r="F57" s="212" t="s">
        <v>372</v>
      </c>
      <c r="H57" s="390" t="s">
        <v>380</v>
      </c>
      <c r="I57" s="322" t="s">
        <v>376</v>
      </c>
      <c r="J57" s="212"/>
      <c r="K57" s="351"/>
      <c r="N57" s="272"/>
      <c r="O57" s="272"/>
      <c r="P57" s="272"/>
    </row>
    <row r="58" spans="2:16" ht="12.75" customHeight="1" thickBot="1">
      <c r="B58" s="391"/>
      <c r="E58" s="323"/>
      <c r="F58" s="213"/>
      <c r="H58"/>
      <c r="I58" s="322"/>
      <c r="J58" s="213"/>
      <c r="K58" s="351"/>
      <c r="N58" s="272"/>
      <c r="O58" s="272"/>
      <c r="P58" s="272"/>
    </row>
    <row r="59" spans="2:16" ht="16.5" customHeight="1" thickBot="1">
      <c r="B59" s="236"/>
      <c r="E59" s="355"/>
      <c r="F59" s="212" t="s">
        <v>373</v>
      </c>
      <c r="H59" s="390" t="s">
        <v>380</v>
      </c>
      <c r="I59" s="322" t="s">
        <v>377</v>
      </c>
      <c r="J59" s="212"/>
      <c r="K59" s="352"/>
      <c r="N59" s="272"/>
      <c r="O59" s="272"/>
      <c r="P59" s="272"/>
    </row>
    <row r="60" spans="2:16" ht="6.75" customHeight="1" thickBot="1">
      <c r="B60" s="182"/>
      <c r="E60" s="323"/>
      <c r="F60" s="213"/>
      <c r="H60"/>
      <c r="I60" s="322"/>
      <c r="J60" s="213"/>
      <c r="K60" s="261"/>
      <c r="N60" s="272"/>
      <c r="O60" s="272"/>
      <c r="P60" s="272"/>
    </row>
    <row r="61" spans="2:16" ht="18.75" customHeight="1" thickBot="1">
      <c r="B61" s="182"/>
      <c r="E61" s="356"/>
      <c r="F61" s="212" t="s">
        <v>374</v>
      </c>
      <c r="H61" s="390" t="s">
        <v>380</v>
      </c>
      <c r="I61" s="322" t="s">
        <v>378</v>
      </c>
      <c r="J61" s="212"/>
      <c r="K61" s="261"/>
      <c r="N61" s="272"/>
      <c r="O61" s="272"/>
      <c r="P61" s="272"/>
    </row>
    <row r="62" spans="2:16" ht="6.75" customHeight="1" thickBot="1">
      <c r="B62" s="182"/>
      <c r="E62" s="323"/>
      <c r="F62" s="213"/>
      <c r="H62"/>
      <c r="I62" s="322"/>
      <c r="J62" s="213"/>
      <c r="K62" s="261"/>
      <c r="N62" s="272"/>
      <c r="O62" s="272"/>
      <c r="P62" s="272"/>
    </row>
    <row r="63" spans="2:16" ht="18.75" customHeight="1" thickBot="1">
      <c r="B63" s="182"/>
      <c r="E63" s="357"/>
      <c r="F63" s="212" t="s">
        <v>375</v>
      </c>
      <c r="H63" s="390" t="s">
        <v>380</v>
      </c>
      <c r="I63" s="322" t="s">
        <v>379</v>
      </c>
      <c r="J63" s="212"/>
      <c r="K63" s="261"/>
      <c r="N63" s="272"/>
      <c r="O63" s="272"/>
      <c r="P63" s="272"/>
    </row>
    <row r="64" spans="2:16" ht="15.75">
      <c r="B64" s="182"/>
      <c r="E64" s="182"/>
      <c r="F64" s="182"/>
      <c r="G64" s="182"/>
      <c r="H64" s="182"/>
      <c r="I64" s="316"/>
      <c r="J64" s="182"/>
      <c r="K64" s="182"/>
      <c r="L64" s="182"/>
      <c r="M64" s="182"/>
      <c r="N64" s="261"/>
      <c r="O64" s="261"/>
      <c r="P64" s="261"/>
    </row>
    <row r="65" spans="2:16" ht="15.75">
      <c r="B65" s="182"/>
      <c r="C65" s="182"/>
      <c r="D65" s="182"/>
      <c r="E65" s="182"/>
      <c r="F65" s="182"/>
      <c r="G65" s="316"/>
      <c r="H65" s="182"/>
      <c r="I65" s="182"/>
      <c r="J65" s="182"/>
      <c r="K65" s="182"/>
      <c r="L65" s="182"/>
      <c r="M65" s="182"/>
      <c r="N65" s="261"/>
      <c r="O65" s="261"/>
      <c r="P65" s="261"/>
    </row>
  </sheetData>
  <sheetProtection/>
  <mergeCells count="19">
    <mergeCell ref="D50:E50"/>
    <mergeCell ref="B2:M2"/>
    <mergeCell ref="B4:M4"/>
    <mergeCell ref="B6:B8"/>
    <mergeCell ref="E6:E8"/>
    <mergeCell ref="I6:J6"/>
    <mergeCell ref="B3:M3"/>
    <mergeCell ref="M7:M8"/>
    <mergeCell ref="C6:D8"/>
    <mergeCell ref="C55:E55"/>
    <mergeCell ref="D53:E53"/>
    <mergeCell ref="D52:E52"/>
    <mergeCell ref="D51:E51"/>
    <mergeCell ref="C30:E30"/>
    <mergeCell ref="H10:K10"/>
    <mergeCell ref="C10:E10"/>
    <mergeCell ref="D49:E49"/>
    <mergeCell ref="C29:E29"/>
    <mergeCell ref="D54:E54"/>
  </mergeCells>
  <conditionalFormatting sqref="M11:M28 M31:M48">
    <cfRule type="cellIs" priority="5" dxfId="3" operator="lessThan">
      <formula>0.3</formula>
    </cfRule>
    <cfRule type="cellIs" priority="6" dxfId="0" operator="between">
      <formula>0.3</formula>
      <formula>0.5</formula>
    </cfRule>
    <cfRule type="cellIs" priority="7" dxfId="2" operator="between">
      <formula>0.5</formula>
      <formula>0.7</formula>
    </cfRule>
    <cfRule type="cellIs" priority="8" dxfId="1" operator="greaterThan">
      <formula>0.7</formula>
    </cfRule>
  </conditionalFormatting>
  <conditionalFormatting sqref="M31:M48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 verticalCentered="1"/>
  <pageMargins left="0" right="0" top="0" bottom="0.19" header="0" footer="0"/>
  <pageSetup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78"/>
  <sheetViews>
    <sheetView showGridLines="0" zoomScale="130" zoomScaleNormal="130" zoomScalePageLayoutView="0" workbookViewId="0" topLeftCell="C4">
      <pane ySplit="2670" topLeftCell="A5" activePane="bottomLeft" state="split"/>
      <selection pane="topLeft" activeCell="K45" sqref="K45"/>
      <selection pane="bottomLeft" activeCell="J55" sqref="J55"/>
    </sheetView>
  </sheetViews>
  <sheetFormatPr defaultColWidth="9.140625" defaultRowHeight="12.75"/>
  <cols>
    <col min="2" max="2" width="7.421875" style="0" customWidth="1"/>
    <col min="3" max="3" width="21.57421875" style="0" customWidth="1"/>
    <col min="4" max="4" width="19.57421875" style="0" customWidth="1"/>
    <col min="5" max="5" width="17.8515625" style="0" customWidth="1"/>
    <col min="6" max="6" width="12.421875" style="0" customWidth="1"/>
    <col min="7" max="7" width="11.8515625" style="0" customWidth="1"/>
    <col min="8" max="8" width="12.00390625" style="0" customWidth="1"/>
    <col min="9" max="9" width="10.57421875" style="0" customWidth="1"/>
    <col min="10" max="10" width="11.421875" style="0" customWidth="1"/>
    <col min="11" max="11" width="13.140625" style="0" customWidth="1"/>
    <col min="12" max="12" width="14.421875" style="0" customWidth="1"/>
    <col min="13" max="13" width="14.421875" style="271" hidden="1" customWidth="1"/>
    <col min="14" max="35" width="0" style="0" hidden="1" customWidth="1"/>
    <col min="36" max="36" width="13.57421875" style="0" customWidth="1"/>
  </cols>
  <sheetData>
    <row r="1" spans="2:13" ht="15.75">
      <c r="B1" s="483" t="s">
        <v>239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260"/>
    </row>
    <row r="2" spans="2:13" ht="15.75">
      <c r="B2" s="483" t="s">
        <v>387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260"/>
    </row>
    <row r="3" spans="2:13" ht="15.75">
      <c r="B3" s="483" t="s">
        <v>395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260"/>
    </row>
    <row r="4" spans="2:13" ht="15.75" customHeight="1" thickBot="1">
      <c r="B4" s="182" t="s">
        <v>72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261"/>
    </row>
    <row r="5" spans="2:40" ht="17.25" customHeight="1">
      <c r="B5" s="492" t="s">
        <v>0</v>
      </c>
      <c r="C5" s="484" t="s">
        <v>95</v>
      </c>
      <c r="D5" s="494" t="s">
        <v>204</v>
      </c>
      <c r="E5" s="341"/>
      <c r="F5" s="184" t="s">
        <v>51</v>
      </c>
      <c r="G5" s="341" t="s">
        <v>57</v>
      </c>
      <c r="H5" s="496" t="s">
        <v>54</v>
      </c>
      <c r="I5" s="496"/>
      <c r="J5" s="341" t="s">
        <v>57</v>
      </c>
      <c r="K5" s="185" t="s">
        <v>57</v>
      </c>
      <c r="L5" s="186" t="s">
        <v>60</v>
      </c>
      <c r="M5" s="262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</row>
    <row r="6" spans="2:40" ht="16.5" customHeight="1">
      <c r="B6" s="493"/>
      <c r="C6" s="485"/>
      <c r="D6" s="495"/>
      <c r="E6" s="342" t="s">
        <v>58</v>
      </c>
      <c r="F6" s="187" t="s">
        <v>52</v>
      </c>
      <c r="G6" s="342" t="s">
        <v>62</v>
      </c>
      <c r="H6" s="188" t="s">
        <v>55</v>
      </c>
      <c r="I6" s="189" t="s">
        <v>56</v>
      </c>
      <c r="J6" s="342" t="s">
        <v>58</v>
      </c>
      <c r="K6" s="190" t="s">
        <v>59</v>
      </c>
      <c r="L6" s="486" t="s">
        <v>61</v>
      </c>
      <c r="M6" s="263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</row>
    <row r="7" spans="2:40" ht="18.75" customHeight="1">
      <c r="B7" s="493"/>
      <c r="C7" s="485"/>
      <c r="D7" s="495"/>
      <c r="E7" s="343"/>
      <c r="F7" s="192" t="s">
        <v>53</v>
      </c>
      <c r="G7" s="343" t="s">
        <v>370</v>
      </c>
      <c r="H7" s="193" t="s">
        <v>364</v>
      </c>
      <c r="I7" s="194" t="s">
        <v>364</v>
      </c>
      <c r="J7" s="343" t="s">
        <v>370</v>
      </c>
      <c r="K7" s="195" t="s">
        <v>364</v>
      </c>
      <c r="L7" s="487"/>
      <c r="M7" s="264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</row>
    <row r="8" spans="2:40" ht="16.5" customHeight="1" thickBot="1">
      <c r="B8" s="245">
        <v>1</v>
      </c>
      <c r="C8" s="246">
        <v>2</v>
      </c>
      <c r="D8" s="246">
        <v>3</v>
      </c>
      <c r="E8" s="246"/>
      <c r="F8" s="187">
        <v>4</v>
      </c>
      <c r="G8" s="246">
        <v>5</v>
      </c>
      <c r="H8" s="246">
        <v>6</v>
      </c>
      <c r="I8" s="246">
        <v>7</v>
      </c>
      <c r="J8" s="246" t="s">
        <v>64</v>
      </c>
      <c r="K8" s="246">
        <v>9</v>
      </c>
      <c r="L8" s="247">
        <v>10</v>
      </c>
      <c r="M8" s="262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</row>
    <row r="9" spans="2:40" ht="27" customHeight="1" thickBot="1">
      <c r="B9" s="225" t="s">
        <v>73</v>
      </c>
      <c r="C9" s="500" t="s">
        <v>74</v>
      </c>
      <c r="D9" s="500"/>
      <c r="E9" s="251"/>
      <c r="F9" s="226"/>
      <c r="G9" s="226"/>
      <c r="H9" s="226"/>
      <c r="I9" s="226"/>
      <c r="J9" s="226"/>
      <c r="K9" s="226"/>
      <c r="L9" s="255"/>
      <c r="M9" s="265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2:40" ht="22.5" customHeight="1">
      <c r="B10" s="228">
        <v>1</v>
      </c>
      <c r="C10" s="248" t="s">
        <v>8</v>
      </c>
      <c r="D10" s="248" t="s">
        <v>206</v>
      </c>
      <c r="E10" s="374" t="s">
        <v>256</v>
      </c>
      <c r="F10" s="375">
        <v>3040</v>
      </c>
      <c r="G10" s="417">
        <v>3.665</v>
      </c>
      <c r="H10" s="418">
        <v>1.834</v>
      </c>
      <c r="I10" s="419">
        <v>0</v>
      </c>
      <c r="J10" s="400">
        <f aca="true" t="shared" si="0" ref="J10:J21">G10+H10+I10</f>
        <v>5.4990000000000006</v>
      </c>
      <c r="K10" s="458">
        <v>3.1</v>
      </c>
      <c r="L10" s="376">
        <f>IF(K10=0,0,(IF(J10/K10&gt;1,1,J10/K10)))</f>
        <v>1</v>
      </c>
      <c r="M10" s="266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433"/>
      <c r="AK10" s="373"/>
      <c r="AL10" s="181"/>
      <c r="AM10" s="181"/>
      <c r="AN10" s="181"/>
    </row>
    <row r="11" spans="2:40" ht="22.5" customHeight="1">
      <c r="B11" s="201">
        <f aca="true" t="shared" si="1" ref="B11:B39">+B10+1</f>
        <v>2</v>
      </c>
      <c r="C11" s="206" t="s">
        <v>8</v>
      </c>
      <c r="D11" s="206" t="s">
        <v>66</v>
      </c>
      <c r="E11" s="377" t="s">
        <v>257</v>
      </c>
      <c r="F11" s="378">
        <v>3519</v>
      </c>
      <c r="G11" s="417">
        <v>42.706</v>
      </c>
      <c r="H11" s="417">
        <v>0</v>
      </c>
      <c r="I11" s="417">
        <v>0.513</v>
      </c>
      <c r="J11" s="400">
        <f t="shared" si="0"/>
        <v>43.219</v>
      </c>
      <c r="K11" s="459">
        <v>3.7</v>
      </c>
      <c r="L11" s="379">
        <f aca="true" t="shared" si="2" ref="L11:L40">IF(K11=0,0,(IF(J11/K11&gt;1,1,J11/K11)))</f>
        <v>1</v>
      </c>
      <c r="M11" s="266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434"/>
      <c r="AK11" s="180"/>
      <c r="AL11" s="180"/>
      <c r="AM11" s="180"/>
      <c r="AN11" s="180"/>
    </row>
    <row r="12" spans="2:40" ht="22.5" customHeight="1">
      <c r="B12" s="201">
        <f t="shared" si="1"/>
        <v>3</v>
      </c>
      <c r="C12" s="206" t="s">
        <v>195</v>
      </c>
      <c r="D12" s="206" t="s">
        <v>65</v>
      </c>
      <c r="E12" s="380" t="s">
        <v>259</v>
      </c>
      <c r="F12" s="381">
        <v>7548</v>
      </c>
      <c r="G12" s="417">
        <v>8.346</v>
      </c>
      <c r="H12" s="417">
        <v>1.392</v>
      </c>
      <c r="I12" s="417">
        <v>1.264</v>
      </c>
      <c r="J12" s="400">
        <f t="shared" si="0"/>
        <v>11.001999999999999</v>
      </c>
      <c r="K12" s="459">
        <v>11.002</v>
      </c>
      <c r="L12" s="415">
        <f>IF(K12=0,0,(IF(J12/K12&gt;1,1,J12/K12)))</f>
        <v>0.9999999999999999</v>
      </c>
      <c r="M12" s="266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433"/>
      <c r="AK12" s="180"/>
      <c r="AL12" s="180"/>
      <c r="AM12" s="180"/>
      <c r="AN12" s="180"/>
    </row>
    <row r="13" spans="2:40" ht="22.5" customHeight="1">
      <c r="B13" s="201">
        <f t="shared" si="1"/>
        <v>4</v>
      </c>
      <c r="C13" s="206" t="s">
        <v>3</v>
      </c>
      <c r="D13" s="206" t="s">
        <v>203</v>
      </c>
      <c r="E13" s="377" t="s">
        <v>258</v>
      </c>
      <c r="F13" s="378">
        <v>26952</v>
      </c>
      <c r="G13" s="417">
        <v>17.42</v>
      </c>
      <c r="H13" s="417">
        <v>17.122</v>
      </c>
      <c r="I13" s="417">
        <v>0</v>
      </c>
      <c r="J13" s="400">
        <f t="shared" si="0"/>
        <v>34.542</v>
      </c>
      <c r="K13" s="459">
        <v>34.542</v>
      </c>
      <c r="L13" s="379">
        <f t="shared" si="2"/>
        <v>1</v>
      </c>
      <c r="M13" s="266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435"/>
      <c r="AK13" s="180"/>
      <c r="AL13" s="180"/>
      <c r="AM13" s="180"/>
      <c r="AN13" s="180"/>
    </row>
    <row r="14" spans="2:40" ht="22.5" customHeight="1">
      <c r="B14" s="201">
        <f t="shared" si="1"/>
        <v>5</v>
      </c>
      <c r="C14" s="206" t="s">
        <v>7</v>
      </c>
      <c r="D14" s="206" t="s">
        <v>224</v>
      </c>
      <c r="E14" s="203" t="s">
        <v>266</v>
      </c>
      <c r="F14" s="378">
        <v>9005</v>
      </c>
      <c r="G14" s="417">
        <v>96.789</v>
      </c>
      <c r="H14" s="427">
        <v>0</v>
      </c>
      <c r="I14" s="452">
        <v>6.79</v>
      </c>
      <c r="J14" s="430">
        <f t="shared" si="0"/>
        <v>103.57900000000001</v>
      </c>
      <c r="K14" s="459">
        <v>12.33</v>
      </c>
      <c r="L14" s="379">
        <f t="shared" si="2"/>
        <v>1</v>
      </c>
      <c r="M14" s="266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436"/>
      <c r="AK14" s="180"/>
      <c r="AL14" s="180"/>
      <c r="AM14" s="180"/>
      <c r="AN14" s="180"/>
    </row>
    <row r="15" spans="2:40" ht="22.5" customHeight="1">
      <c r="B15" s="201">
        <f t="shared" si="1"/>
        <v>6</v>
      </c>
      <c r="C15" s="206" t="s">
        <v>227</v>
      </c>
      <c r="D15" s="206" t="s">
        <v>225</v>
      </c>
      <c r="E15" s="203" t="s">
        <v>267</v>
      </c>
      <c r="F15" s="378">
        <v>3211</v>
      </c>
      <c r="G15" s="442">
        <v>39.069</v>
      </c>
      <c r="H15" s="428">
        <v>0</v>
      </c>
      <c r="I15" s="452">
        <v>2.977</v>
      </c>
      <c r="J15" s="430">
        <f t="shared" si="0"/>
        <v>42.046</v>
      </c>
      <c r="K15" s="459">
        <v>4.211</v>
      </c>
      <c r="L15" s="379">
        <f t="shared" si="2"/>
        <v>1</v>
      </c>
      <c r="M15" s="266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437"/>
      <c r="AK15" s="180"/>
      <c r="AL15" s="180"/>
      <c r="AM15" s="180"/>
      <c r="AN15" s="180"/>
    </row>
    <row r="16" spans="2:40" ht="22.5" customHeight="1">
      <c r="B16" s="201">
        <f t="shared" si="1"/>
        <v>7</v>
      </c>
      <c r="C16" s="206" t="s">
        <v>7</v>
      </c>
      <c r="D16" s="206" t="s">
        <v>226</v>
      </c>
      <c r="E16" s="203" t="s">
        <v>268</v>
      </c>
      <c r="F16" s="425">
        <v>7277</v>
      </c>
      <c r="G16" s="457">
        <v>1.882</v>
      </c>
      <c r="H16" s="447">
        <v>1.628</v>
      </c>
      <c r="I16" s="453">
        <v>2.823</v>
      </c>
      <c r="J16" s="430">
        <f t="shared" si="0"/>
        <v>6.333</v>
      </c>
      <c r="K16" s="459">
        <v>4.451</v>
      </c>
      <c r="L16" s="379">
        <f t="shared" si="2"/>
        <v>1</v>
      </c>
      <c r="M16" s="266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436"/>
      <c r="AK16" s="180"/>
      <c r="AL16" s="180"/>
      <c r="AM16" s="180"/>
      <c r="AN16" s="180"/>
    </row>
    <row r="17" spans="2:40" ht="22.5" customHeight="1">
      <c r="B17" s="201">
        <f t="shared" si="1"/>
        <v>8</v>
      </c>
      <c r="C17" s="206" t="s">
        <v>228</v>
      </c>
      <c r="D17" s="206" t="s">
        <v>229</v>
      </c>
      <c r="E17" s="203" t="s">
        <v>249</v>
      </c>
      <c r="F17" s="425">
        <v>2147</v>
      </c>
      <c r="G17" s="443">
        <v>9.528</v>
      </c>
      <c r="H17" s="429">
        <v>0</v>
      </c>
      <c r="I17" s="453">
        <v>1.57</v>
      </c>
      <c r="J17" s="430">
        <f t="shared" si="0"/>
        <v>11.098</v>
      </c>
      <c r="K17" s="459">
        <v>11.098</v>
      </c>
      <c r="L17" s="379">
        <f t="shared" si="2"/>
        <v>1</v>
      </c>
      <c r="M17" s="266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433"/>
      <c r="AK17" s="180"/>
      <c r="AL17" s="180"/>
      <c r="AM17" s="180"/>
      <c r="AN17" s="180"/>
    </row>
    <row r="18" spans="2:40" ht="22.5" customHeight="1">
      <c r="B18" s="201">
        <v>9</v>
      </c>
      <c r="C18" s="206" t="s">
        <v>3</v>
      </c>
      <c r="D18" s="206" t="s">
        <v>230</v>
      </c>
      <c r="E18" s="203" t="s">
        <v>250</v>
      </c>
      <c r="F18" s="425">
        <v>4166</v>
      </c>
      <c r="G18" s="443">
        <v>38.725</v>
      </c>
      <c r="H18" s="429">
        <v>0</v>
      </c>
      <c r="I18" s="453">
        <v>1.506</v>
      </c>
      <c r="J18" s="430">
        <f t="shared" si="0"/>
        <v>40.231</v>
      </c>
      <c r="K18" s="459">
        <v>3.503</v>
      </c>
      <c r="L18" s="379">
        <f t="shared" si="2"/>
        <v>1</v>
      </c>
      <c r="M18" s="266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435"/>
      <c r="AK18" s="180"/>
      <c r="AL18" s="180"/>
      <c r="AM18" s="180"/>
      <c r="AN18" s="180"/>
    </row>
    <row r="19" spans="2:40" ht="22.5" customHeight="1">
      <c r="B19" s="201">
        <f t="shared" si="1"/>
        <v>10</v>
      </c>
      <c r="C19" s="206" t="s">
        <v>3</v>
      </c>
      <c r="D19" s="206" t="s">
        <v>231</v>
      </c>
      <c r="E19" s="203" t="s">
        <v>269</v>
      </c>
      <c r="F19" s="425">
        <v>6305</v>
      </c>
      <c r="G19" s="445">
        <v>36.414</v>
      </c>
      <c r="H19" s="444">
        <v>4.68</v>
      </c>
      <c r="I19" s="426">
        <v>0</v>
      </c>
      <c r="J19" s="400">
        <f t="shared" si="0"/>
        <v>41.094</v>
      </c>
      <c r="K19" s="459">
        <v>7.324</v>
      </c>
      <c r="L19" s="379">
        <f t="shared" si="2"/>
        <v>1</v>
      </c>
      <c r="M19" s="266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437"/>
      <c r="AK19" s="180"/>
      <c r="AL19" s="180"/>
      <c r="AM19" s="180"/>
      <c r="AN19" s="180"/>
    </row>
    <row r="20" spans="2:40" ht="22.5" customHeight="1">
      <c r="B20" s="201">
        <f t="shared" si="1"/>
        <v>11</v>
      </c>
      <c r="C20" s="206" t="s">
        <v>233</v>
      </c>
      <c r="D20" s="206" t="s">
        <v>234</v>
      </c>
      <c r="E20" s="203" t="s">
        <v>270</v>
      </c>
      <c r="F20" s="425">
        <v>7439</v>
      </c>
      <c r="G20" s="443">
        <v>0</v>
      </c>
      <c r="H20" s="429">
        <v>0</v>
      </c>
      <c r="I20" s="454">
        <v>7.439</v>
      </c>
      <c r="J20" s="430">
        <f t="shared" si="0"/>
        <v>7.439</v>
      </c>
      <c r="K20" s="459">
        <v>7.439</v>
      </c>
      <c r="L20" s="416">
        <f>IF(K20=0,0,(IF(J20/K20&gt;1,1,J20/K20)))</f>
        <v>1</v>
      </c>
      <c r="M20" s="266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437"/>
      <c r="AK20" s="180"/>
      <c r="AL20" s="180"/>
      <c r="AM20" s="180"/>
      <c r="AN20" s="180"/>
    </row>
    <row r="21" spans="2:40" ht="22.5" customHeight="1">
      <c r="B21" s="201">
        <f t="shared" si="1"/>
        <v>12</v>
      </c>
      <c r="C21" s="206" t="s">
        <v>233</v>
      </c>
      <c r="D21" s="206" t="s">
        <v>246</v>
      </c>
      <c r="E21" s="377" t="s">
        <v>251</v>
      </c>
      <c r="F21" s="425">
        <v>6632</v>
      </c>
      <c r="G21" s="443">
        <v>13.372</v>
      </c>
      <c r="H21" s="429">
        <v>0</v>
      </c>
      <c r="I21" s="454">
        <v>6.072</v>
      </c>
      <c r="J21" s="430">
        <f t="shared" si="0"/>
        <v>19.444</v>
      </c>
      <c r="K21" s="459">
        <v>19.444</v>
      </c>
      <c r="L21" s="379">
        <f t="shared" si="2"/>
        <v>1</v>
      </c>
      <c r="M21" s="266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437"/>
      <c r="AK21" s="180"/>
      <c r="AL21" s="180"/>
      <c r="AM21" s="180"/>
      <c r="AN21" s="180"/>
    </row>
    <row r="22" spans="2:40" ht="22.5" customHeight="1">
      <c r="B22" s="201">
        <f t="shared" si="1"/>
        <v>13</v>
      </c>
      <c r="C22" s="206" t="s">
        <v>233</v>
      </c>
      <c r="D22" s="206" t="s">
        <v>235</v>
      </c>
      <c r="E22" s="377" t="s">
        <v>252</v>
      </c>
      <c r="F22" s="425">
        <v>7634</v>
      </c>
      <c r="G22" s="443">
        <v>2.772</v>
      </c>
      <c r="H22" s="431">
        <v>0</v>
      </c>
      <c r="I22" s="454">
        <v>4.782</v>
      </c>
      <c r="J22" s="430">
        <f>I22+H22+G22</f>
        <v>7.554</v>
      </c>
      <c r="K22" s="459">
        <v>6.353</v>
      </c>
      <c r="L22" s="379">
        <f t="shared" si="2"/>
        <v>1</v>
      </c>
      <c r="M22" s="266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437"/>
      <c r="AK22" s="180"/>
      <c r="AL22" s="180"/>
      <c r="AM22" s="180"/>
      <c r="AN22" s="180"/>
    </row>
    <row r="23" spans="2:40" ht="22.5" customHeight="1">
      <c r="B23" s="201">
        <f t="shared" si="1"/>
        <v>14</v>
      </c>
      <c r="C23" s="206" t="s">
        <v>233</v>
      </c>
      <c r="D23" s="206" t="s">
        <v>243</v>
      </c>
      <c r="E23" s="377" t="s">
        <v>253</v>
      </c>
      <c r="F23" s="425">
        <v>3940</v>
      </c>
      <c r="G23" s="443">
        <v>0</v>
      </c>
      <c r="H23" s="426">
        <v>5.713</v>
      </c>
      <c r="I23" s="446">
        <v>0</v>
      </c>
      <c r="J23" s="400">
        <f>G23+H23+I23</f>
        <v>5.713</v>
      </c>
      <c r="K23" s="459">
        <v>5.713</v>
      </c>
      <c r="L23" s="379">
        <f t="shared" si="2"/>
        <v>1</v>
      </c>
      <c r="M23" s="266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437"/>
      <c r="AK23" s="432"/>
      <c r="AL23" s="180"/>
      <c r="AM23" s="180"/>
      <c r="AN23" s="180"/>
    </row>
    <row r="24" spans="2:40" ht="22.5" customHeight="1">
      <c r="B24" s="201">
        <f t="shared" si="1"/>
        <v>15</v>
      </c>
      <c r="C24" s="206" t="s">
        <v>9</v>
      </c>
      <c r="D24" s="206" t="s">
        <v>85</v>
      </c>
      <c r="E24" s="377" t="s">
        <v>271</v>
      </c>
      <c r="F24" s="378">
        <v>1176</v>
      </c>
      <c r="G24" s="421">
        <v>13.111</v>
      </c>
      <c r="H24" s="303">
        <v>0.871</v>
      </c>
      <c r="I24" s="455">
        <v>0.522</v>
      </c>
      <c r="J24" s="400">
        <f aca="true" t="shared" si="3" ref="J24:J40">G24+H24+I24</f>
        <v>14.504000000000001</v>
      </c>
      <c r="K24" s="460">
        <v>1.897</v>
      </c>
      <c r="L24" s="379">
        <f t="shared" si="2"/>
        <v>1</v>
      </c>
      <c r="M24" s="266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438"/>
      <c r="AK24" s="180"/>
      <c r="AL24" s="180"/>
      <c r="AM24" s="180"/>
      <c r="AN24" s="180"/>
    </row>
    <row r="25" spans="2:40" ht="22.5" customHeight="1">
      <c r="B25" s="201">
        <f t="shared" si="1"/>
        <v>16</v>
      </c>
      <c r="C25" s="206" t="s">
        <v>232</v>
      </c>
      <c r="D25" s="206" t="s">
        <v>68</v>
      </c>
      <c r="E25" s="377" t="s">
        <v>248</v>
      </c>
      <c r="F25" s="378">
        <v>500</v>
      </c>
      <c r="G25" s="303">
        <v>17.825</v>
      </c>
      <c r="H25" s="303">
        <v>0</v>
      </c>
      <c r="I25" s="456">
        <v>0.45</v>
      </c>
      <c r="J25" s="400">
        <f t="shared" si="3"/>
        <v>18.275</v>
      </c>
      <c r="K25" s="459">
        <v>0.6</v>
      </c>
      <c r="L25" s="379">
        <f t="shared" si="2"/>
        <v>1</v>
      </c>
      <c r="M25" s="266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438"/>
      <c r="AK25" s="180"/>
      <c r="AL25" s="180"/>
      <c r="AM25" s="180"/>
      <c r="AN25" s="180"/>
    </row>
    <row r="26" spans="2:40" ht="22.5" customHeight="1">
      <c r="B26" s="201">
        <f t="shared" si="1"/>
        <v>17</v>
      </c>
      <c r="C26" s="206" t="s">
        <v>8</v>
      </c>
      <c r="D26" s="206" t="s">
        <v>86</v>
      </c>
      <c r="E26" s="377" t="s">
        <v>272</v>
      </c>
      <c r="F26" s="378">
        <v>1330</v>
      </c>
      <c r="G26" s="303">
        <v>0.849</v>
      </c>
      <c r="H26" s="303">
        <v>1.771</v>
      </c>
      <c r="I26" s="303">
        <v>0</v>
      </c>
      <c r="J26" s="400">
        <f t="shared" si="3"/>
        <v>2.62</v>
      </c>
      <c r="K26" s="459">
        <v>1.7</v>
      </c>
      <c r="L26" s="379">
        <f t="shared" si="2"/>
        <v>1</v>
      </c>
      <c r="M26" s="266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435"/>
      <c r="AK26" s="180"/>
      <c r="AL26" s="180"/>
      <c r="AM26" s="180"/>
      <c r="AN26" s="180"/>
    </row>
    <row r="27" spans="2:40" ht="22.5" customHeight="1">
      <c r="B27" s="201">
        <f t="shared" si="1"/>
        <v>18</v>
      </c>
      <c r="C27" s="206" t="s">
        <v>8</v>
      </c>
      <c r="D27" s="206" t="s">
        <v>167</v>
      </c>
      <c r="E27" s="203" t="s">
        <v>273</v>
      </c>
      <c r="F27" s="378">
        <v>2388</v>
      </c>
      <c r="G27" s="303">
        <v>6.547</v>
      </c>
      <c r="H27" s="303">
        <v>0</v>
      </c>
      <c r="I27" s="303">
        <v>2.41</v>
      </c>
      <c r="J27" s="400">
        <f t="shared" si="3"/>
        <v>8.957</v>
      </c>
      <c r="K27" s="459">
        <v>2.447</v>
      </c>
      <c r="L27" s="379">
        <f>IF(K27=0,0,(IF(J27/K27&gt;1,1,J27/K27)))</f>
        <v>1</v>
      </c>
      <c r="M27" s="266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438"/>
      <c r="AK27" s="180"/>
      <c r="AL27" s="180"/>
      <c r="AM27" s="180"/>
      <c r="AN27" s="180"/>
    </row>
    <row r="28" spans="2:40" ht="22.5" customHeight="1">
      <c r="B28" s="201">
        <f t="shared" si="1"/>
        <v>19</v>
      </c>
      <c r="C28" s="206" t="s">
        <v>8</v>
      </c>
      <c r="D28" s="206" t="s">
        <v>166</v>
      </c>
      <c r="E28" s="203" t="s">
        <v>274</v>
      </c>
      <c r="F28" s="378">
        <v>1521</v>
      </c>
      <c r="G28" s="303">
        <v>0.199</v>
      </c>
      <c r="H28" s="303">
        <v>0</v>
      </c>
      <c r="I28" s="303">
        <v>2.447</v>
      </c>
      <c r="J28" s="400">
        <f t="shared" si="3"/>
        <v>2.646</v>
      </c>
      <c r="K28" s="459">
        <v>2.447</v>
      </c>
      <c r="L28" s="379">
        <f t="shared" si="2"/>
        <v>1</v>
      </c>
      <c r="M28" s="266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438"/>
      <c r="AK28" s="180"/>
      <c r="AL28" s="180"/>
      <c r="AM28" s="180"/>
      <c r="AN28" s="180"/>
    </row>
    <row r="29" spans="2:40" ht="22.5" customHeight="1">
      <c r="B29" s="201">
        <f t="shared" si="1"/>
        <v>20</v>
      </c>
      <c r="C29" s="206" t="s">
        <v>7</v>
      </c>
      <c r="D29" s="206" t="s">
        <v>190</v>
      </c>
      <c r="E29" s="377" t="s">
        <v>266</v>
      </c>
      <c r="F29" s="378">
        <v>2049</v>
      </c>
      <c r="G29" s="303">
        <v>4.131</v>
      </c>
      <c r="H29" s="303">
        <v>0.05</v>
      </c>
      <c r="I29" s="303">
        <v>7.799</v>
      </c>
      <c r="J29" s="400">
        <f>I29+H29+G29</f>
        <v>11.98</v>
      </c>
      <c r="K29" s="459">
        <v>1.976</v>
      </c>
      <c r="L29" s="379">
        <f t="shared" si="2"/>
        <v>1</v>
      </c>
      <c r="M29" s="266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438"/>
      <c r="AK29" s="180"/>
      <c r="AL29" s="180"/>
      <c r="AM29" s="180"/>
      <c r="AN29" s="180"/>
    </row>
    <row r="30" spans="2:40" ht="22.5" customHeight="1">
      <c r="B30" s="201">
        <f t="shared" si="1"/>
        <v>21</v>
      </c>
      <c r="C30" s="206" t="s">
        <v>7</v>
      </c>
      <c r="D30" s="206" t="s">
        <v>69</v>
      </c>
      <c r="E30" s="377" t="s">
        <v>268</v>
      </c>
      <c r="F30" s="378">
        <v>415</v>
      </c>
      <c r="G30" s="307">
        <v>12.661</v>
      </c>
      <c r="H30" s="303">
        <v>6.892</v>
      </c>
      <c r="I30" s="303">
        <v>0.562</v>
      </c>
      <c r="J30" s="400">
        <f t="shared" si="3"/>
        <v>20.115000000000002</v>
      </c>
      <c r="K30" s="459">
        <v>0.562</v>
      </c>
      <c r="L30" s="379">
        <f t="shared" si="2"/>
        <v>1</v>
      </c>
      <c r="M30" s="266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435"/>
      <c r="AK30" s="180"/>
      <c r="AL30" s="180"/>
      <c r="AM30" s="180"/>
      <c r="AN30" s="180"/>
    </row>
    <row r="31" spans="2:40" ht="22.5" customHeight="1">
      <c r="B31" s="201">
        <f t="shared" si="1"/>
        <v>22</v>
      </c>
      <c r="C31" s="206" t="s">
        <v>196</v>
      </c>
      <c r="D31" s="206" t="s">
        <v>191</v>
      </c>
      <c r="E31" s="377" t="s">
        <v>251</v>
      </c>
      <c r="F31" s="378">
        <v>1870</v>
      </c>
      <c r="G31" s="303">
        <v>28.794</v>
      </c>
      <c r="H31" s="303">
        <v>1.34</v>
      </c>
      <c r="I31" s="303">
        <v>0.098</v>
      </c>
      <c r="J31" s="400">
        <f>G31+H31+I31</f>
        <v>30.232</v>
      </c>
      <c r="K31" s="459">
        <v>1.971</v>
      </c>
      <c r="L31" s="379">
        <f t="shared" si="2"/>
        <v>1</v>
      </c>
      <c r="M31" s="266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438"/>
      <c r="AK31" s="180"/>
      <c r="AL31" s="180"/>
      <c r="AM31" s="180"/>
      <c r="AN31" s="180"/>
    </row>
    <row r="32" spans="2:40" ht="22.5" customHeight="1">
      <c r="B32" s="201">
        <f t="shared" si="1"/>
        <v>23</v>
      </c>
      <c r="C32" s="206" t="s">
        <v>196</v>
      </c>
      <c r="D32" s="206" t="s">
        <v>192</v>
      </c>
      <c r="E32" s="377" t="s">
        <v>275</v>
      </c>
      <c r="F32" s="378">
        <v>600</v>
      </c>
      <c r="G32" s="303">
        <v>1.309</v>
      </c>
      <c r="H32" s="303">
        <v>0</v>
      </c>
      <c r="I32" s="303">
        <v>0.231</v>
      </c>
      <c r="J32" s="400">
        <f t="shared" si="3"/>
        <v>1.54</v>
      </c>
      <c r="K32" s="459">
        <v>0.6</v>
      </c>
      <c r="L32" s="379">
        <f>IF(K32=0,0,(IF(J32/K32&gt;1,1,J32/K32)))</f>
        <v>1</v>
      </c>
      <c r="M32" s="266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439"/>
      <c r="AK32" s="180"/>
      <c r="AL32" s="180"/>
      <c r="AM32" s="180"/>
      <c r="AN32" s="180"/>
    </row>
    <row r="33" spans="2:40" ht="22.5" customHeight="1">
      <c r="B33" s="201">
        <f t="shared" si="1"/>
        <v>24</v>
      </c>
      <c r="C33" s="206" t="s">
        <v>198</v>
      </c>
      <c r="D33" s="206" t="s">
        <v>205</v>
      </c>
      <c r="E33" s="377" t="s">
        <v>276</v>
      </c>
      <c r="F33" s="378">
        <v>749</v>
      </c>
      <c r="G33" s="303">
        <v>0.203</v>
      </c>
      <c r="H33" s="303">
        <v>0.437</v>
      </c>
      <c r="I33" s="303">
        <v>0</v>
      </c>
      <c r="J33" s="400">
        <f t="shared" si="3"/>
        <v>0.64</v>
      </c>
      <c r="K33" s="459">
        <v>0.761</v>
      </c>
      <c r="L33" s="379">
        <f t="shared" si="2"/>
        <v>0.8409986859395532</v>
      </c>
      <c r="M33" s="266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439"/>
      <c r="AK33" s="180"/>
      <c r="AL33" s="180"/>
      <c r="AM33" s="180"/>
      <c r="AN33" s="180"/>
    </row>
    <row r="34" spans="2:40" ht="22.5" customHeight="1">
      <c r="B34" s="201">
        <f t="shared" si="1"/>
        <v>25</v>
      </c>
      <c r="C34" s="206" t="s">
        <v>197</v>
      </c>
      <c r="D34" s="206" t="s">
        <v>222</v>
      </c>
      <c r="E34" s="203" t="s">
        <v>277</v>
      </c>
      <c r="F34" s="378">
        <v>1704</v>
      </c>
      <c r="G34" s="303">
        <v>0</v>
      </c>
      <c r="H34" s="303">
        <v>1.088</v>
      </c>
      <c r="I34" s="303"/>
      <c r="J34" s="400">
        <f t="shared" si="3"/>
        <v>1.088</v>
      </c>
      <c r="K34" s="459">
        <v>0.494</v>
      </c>
      <c r="L34" s="379">
        <f t="shared" si="2"/>
        <v>1</v>
      </c>
      <c r="M34" s="266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439"/>
      <c r="AK34" s="180"/>
      <c r="AL34" s="180"/>
      <c r="AM34" s="180"/>
      <c r="AN34" s="180"/>
    </row>
    <row r="35" spans="2:40" ht="22.5" customHeight="1">
      <c r="B35" s="201">
        <f t="shared" si="1"/>
        <v>26</v>
      </c>
      <c r="C35" s="206" t="s">
        <v>197</v>
      </c>
      <c r="D35" s="206" t="s">
        <v>193</v>
      </c>
      <c r="E35" s="377" t="s">
        <v>278</v>
      </c>
      <c r="F35" s="378">
        <v>824</v>
      </c>
      <c r="G35" s="420">
        <v>0.551</v>
      </c>
      <c r="H35" s="303">
        <v>0.349</v>
      </c>
      <c r="I35" s="303">
        <v>0</v>
      </c>
      <c r="J35" s="400">
        <f t="shared" si="3"/>
        <v>0.9</v>
      </c>
      <c r="K35" s="459">
        <v>0.5</v>
      </c>
      <c r="L35" s="379">
        <f t="shared" si="2"/>
        <v>1</v>
      </c>
      <c r="M35" s="266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435"/>
      <c r="AK35" s="180"/>
      <c r="AL35" s="180"/>
      <c r="AM35" s="180"/>
      <c r="AN35" s="180"/>
    </row>
    <row r="36" spans="2:40" ht="22.5" customHeight="1">
      <c r="B36" s="201">
        <f t="shared" si="1"/>
        <v>27</v>
      </c>
      <c r="C36" s="206" t="s">
        <v>197</v>
      </c>
      <c r="D36" s="206" t="s">
        <v>194</v>
      </c>
      <c r="E36" s="377" t="s">
        <v>279</v>
      </c>
      <c r="F36" s="378">
        <v>290</v>
      </c>
      <c r="G36" s="303">
        <v>0</v>
      </c>
      <c r="H36" s="307">
        <v>0.296</v>
      </c>
      <c r="I36" s="303">
        <v>0</v>
      </c>
      <c r="J36" s="400">
        <f t="shared" si="3"/>
        <v>0.296</v>
      </c>
      <c r="K36" s="460">
        <v>0.29</v>
      </c>
      <c r="L36" s="379">
        <f t="shared" si="2"/>
        <v>1</v>
      </c>
      <c r="M36" s="266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435"/>
      <c r="AK36" s="180"/>
      <c r="AL36" s="180"/>
      <c r="AM36" s="180"/>
      <c r="AN36" s="180"/>
    </row>
    <row r="37" spans="2:40" ht="22.5" customHeight="1">
      <c r="B37" s="201">
        <f t="shared" si="1"/>
        <v>28</v>
      </c>
      <c r="C37" s="206" t="s">
        <v>197</v>
      </c>
      <c r="D37" s="206" t="s">
        <v>31</v>
      </c>
      <c r="E37" s="377" t="s">
        <v>280</v>
      </c>
      <c r="F37" s="378">
        <v>210</v>
      </c>
      <c r="G37" s="303">
        <v>0.186</v>
      </c>
      <c r="H37" s="303">
        <v>0.321</v>
      </c>
      <c r="I37" s="303">
        <v>0</v>
      </c>
      <c r="J37" s="400">
        <f t="shared" si="3"/>
        <v>0.507</v>
      </c>
      <c r="K37" s="459">
        <v>0.254</v>
      </c>
      <c r="L37" s="379">
        <f t="shared" si="2"/>
        <v>1</v>
      </c>
      <c r="M37" s="266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435"/>
      <c r="AK37" s="180"/>
      <c r="AL37" s="180"/>
      <c r="AM37" s="180"/>
      <c r="AN37" s="180"/>
    </row>
    <row r="38" spans="2:40" ht="22.5" customHeight="1">
      <c r="B38" s="201">
        <f t="shared" si="1"/>
        <v>29</v>
      </c>
      <c r="C38" s="206" t="s">
        <v>199</v>
      </c>
      <c r="D38" s="206" t="s">
        <v>200</v>
      </c>
      <c r="E38" s="377" t="s">
        <v>281</v>
      </c>
      <c r="F38" s="378">
        <v>236</v>
      </c>
      <c r="G38" s="303">
        <v>1.636</v>
      </c>
      <c r="H38" s="303">
        <v>0.152</v>
      </c>
      <c r="I38" s="303">
        <v>0</v>
      </c>
      <c r="J38" s="400">
        <f t="shared" si="3"/>
        <v>1.7879999999999998</v>
      </c>
      <c r="K38" s="460">
        <v>0.25</v>
      </c>
      <c r="L38" s="379">
        <f t="shared" si="2"/>
        <v>1</v>
      </c>
      <c r="M38" s="266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440"/>
      <c r="AK38" s="180"/>
      <c r="AL38" s="180"/>
      <c r="AM38" s="180"/>
      <c r="AN38" s="180"/>
    </row>
    <row r="39" spans="2:40" ht="22.5" customHeight="1">
      <c r="B39" s="201">
        <f t="shared" si="1"/>
        <v>30</v>
      </c>
      <c r="C39" s="206" t="s">
        <v>201</v>
      </c>
      <c r="D39" s="206" t="s">
        <v>202</v>
      </c>
      <c r="E39" s="382" t="s">
        <v>282</v>
      </c>
      <c r="F39" s="381">
        <v>1026</v>
      </c>
      <c r="G39" s="303">
        <v>0.948</v>
      </c>
      <c r="H39" s="303">
        <v>0</v>
      </c>
      <c r="I39" s="303">
        <v>0.568</v>
      </c>
      <c r="J39" s="400">
        <f t="shared" si="3"/>
        <v>1.516</v>
      </c>
      <c r="K39" s="459">
        <v>0.789</v>
      </c>
      <c r="L39" s="379">
        <f>IF(K39=0,0,(IF(J39/K39&gt;1,1,J39/K39)))</f>
        <v>1</v>
      </c>
      <c r="M39" s="266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440"/>
      <c r="AK39" s="180"/>
      <c r="AL39" s="180"/>
      <c r="AM39" s="180"/>
      <c r="AN39" s="180"/>
    </row>
    <row r="40" spans="2:40" ht="22.5" customHeight="1" thickBot="1">
      <c r="B40" s="223"/>
      <c r="C40" s="507" t="s">
        <v>131</v>
      </c>
      <c r="D40" s="507"/>
      <c r="E40" s="256"/>
      <c r="F40" s="329">
        <f>SUM(F10:F39)</f>
        <v>115703</v>
      </c>
      <c r="G40" s="396">
        <f>SUM(G10:G39)</f>
        <v>399.638</v>
      </c>
      <c r="H40" s="396">
        <f>SUM(H10:H39)</f>
        <v>45.936</v>
      </c>
      <c r="I40" s="396">
        <f>SUM(I10:I39)</f>
        <v>50.82300000000001</v>
      </c>
      <c r="J40" s="400">
        <f t="shared" si="3"/>
        <v>496.39699999999993</v>
      </c>
      <c r="K40" s="396">
        <f>SUM(K10:K39)</f>
        <v>151.74799999999993</v>
      </c>
      <c r="L40" s="334">
        <f t="shared" si="2"/>
        <v>1</v>
      </c>
      <c r="M40" s="266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</row>
    <row r="41" spans="2:40" ht="22.5" customHeight="1" thickBot="1">
      <c r="B41" s="257" t="s">
        <v>75</v>
      </c>
      <c r="C41" s="509" t="s">
        <v>388</v>
      </c>
      <c r="D41" s="509"/>
      <c r="E41" s="258"/>
      <c r="F41" s="344"/>
      <c r="G41" s="505"/>
      <c r="H41" s="506"/>
      <c r="I41" s="506"/>
      <c r="J41" s="506"/>
      <c r="K41" s="506"/>
      <c r="L41" s="335"/>
      <c r="M41" s="267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</row>
    <row r="42" spans="2:40" ht="22.5" customHeight="1">
      <c r="B42" s="228">
        <v>1</v>
      </c>
      <c r="C42" s="248" t="s">
        <v>9</v>
      </c>
      <c r="D42" s="248" t="s">
        <v>87</v>
      </c>
      <c r="E42" s="383" t="s">
        <v>283</v>
      </c>
      <c r="F42" s="397">
        <v>4353</v>
      </c>
      <c r="G42" s="421">
        <v>40.603</v>
      </c>
      <c r="H42" s="421">
        <v>3.017</v>
      </c>
      <c r="I42" s="421">
        <v>2.21</v>
      </c>
      <c r="J42" s="403">
        <f aca="true" t="shared" si="4" ref="J42:J52">+I42+H42+G42</f>
        <v>45.83</v>
      </c>
      <c r="K42" s="463">
        <v>5.227</v>
      </c>
      <c r="L42" s="385">
        <f>IF(K42=0,0,(IF(J42/K42&gt;1,1,J42/K42)))</f>
        <v>1</v>
      </c>
      <c r="M42" s="268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373" t="s">
        <v>385</v>
      </c>
      <c r="AL42" s="180"/>
      <c r="AM42" s="180"/>
      <c r="AN42" s="180"/>
    </row>
    <row r="43" spans="2:40" ht="22.5" customHeight="1">
      <c r="B43" s="201">
        <f>+B42+1</f>
        <v>2</v>
      </c>
      <c r="C43" s="206" t="s">
        <v>10</v>
      </c>
      <c r="D43" s="206" t="s">
        <v>11</v>
      </c>
      <c r="E43" s="377" t="s">
        <v>284</v>
      </c>
      <c r="F43" s="384">
        <v>8861</v>
      </c>
      <c r="G43" s="303">
        <v>23.537</v>
      </c>
      <c r="H43" s="303">
        <v>3.906</v>
      </c>
      <c r="I43" s="307">
        <v>4.522</v>
      </c>
      <c r="J43" s="403">
        <f t="shared" si="4"/>
        <v>31.965</v>
      </c>
      <c r="K43" s="464">
        <v>8.428</v>
      </c>
      <c r="L43" s="387">
        <f>IF(K43=0,0,(IF(J43/K43&gt;1,1,J43/K43)))</f>
        <v>1</v>
      </c>
      <c r="M43" s="268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</row>
    <row r="44" spans="2:40" ht="22.5" customHeight="1">
      <c r="B44" s="201">
        <v>3</v>
      </c>
      <c r="C44" s="206"/>
      <c r="D44" s="206" t="s">
        <v>88</v>
      </c>
      <c r="E44" s="377" t="s">
        <v>285</v>
      </c>
      <c r="F44" s="386">
        <v>1108</v>
      </c>
      <c r="G44" s="303">
        <v>4.47</v>
      </c>
      <c r="H44" s="303">
        <v>0.238</v>
      </c>
      <c r="I44" s="303">
        <v>1.022</v>
      </c>
      <c r="J44" s="403">
        <f>+I44+H44+G44</f>
        <v>5.7299999999999995</v>
      </c>
      <c r="K44" s="464">
        <v>1.26</v>
      </c>
      <c r="L44" s="387">
        <f aca="true" t="shared" si="5" ref="L44:L52">IF(K44=0,0,(IF(J44/K44&gt;1,1,J44/K44)))</f>
        <v>1</v>
      </c>
      <c r="M44" s="268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2:40" ht="22.5" customHeight="1">
      <c r="B45" s="201">
        <v>4</v>
      </c>
      <c r="C45" s="206"/>
      <c r="D45" s="206" t="s">
        <v>89</v>
      </c>
      <c r="E45" s="377" t="s">
        <v>286</v>
      </c>
      <c r="F45" s="386">
        <v>2577</v>
      </c>
      <c r="G45" s="303">
        <v>7.918</v>
      </c>
      <c r="H45" s="303">
        <v>2.257</v>
      </c>
      <c r="I45" s="303">
        <v>0.065</v>
      </c>
      <c r="J45" s="403">
        <f>+I45+H45+G45</f>
        <v>10.24</v>
      </c>
      <c r="K45" s="464">
        <v>2.322</v>
      </c>
      <c r="L45" s="387">
        <f t="shared" si="5"/>
        <v>1</v>
      </c>
      <c r="M45" s="268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</row>
    <row r="46" spans="2:40" ht="22.5" customHeight="1">
      <c r="B46" s="201">
        <v>5</v>
      </c>
      <c r="C46" s="206" t="s">
        <v>90</v>
      </c>
      <c r="D46" s="206" t="s">
        <v>144</v>
      </c>
      <c r="E46" s="377" t="s">
        <v>287</v>
      </c>
      <c r="F46" s="386">
        <v>464</v>
      </c>
      <c r="G46" s="303">
        <v>0.86</v>
      </c>
      <c r="H46" s="303">
        <v>0</v>
      </c>
      <c r="I46" s="303">
        <v>0.3</v>
      </c>
      <c r="J46" s="403">
        <f t="shared" si="4"/>
        <v>1.16</v>
      </c>
      <c r="K46" s="464">
        <v>0.3</v>
      </c>
      <c r="L46" s="387">
        <f t="shared" si="5"/>
        <v>1</v>
      </c>
      <c r="M46" s="268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</row>
    <row r="47" spans="2:40" ht="22.5" customHeight="1">
      <c r="B47" s="201">
        <v>6</v>
      </c>
      <c r="C47" s="206"/>
      <c r="D47" s="206" t="s">
        <v>91</v>
      </c>
      <c r="E47" s="377" t="s">
        <v>288</v>
      </c>
      <c r="F47" s="386">
        <v>1060</v>
      </c>
      <c r="G47" s="303">
        <v>0</v>
      </c>
      <c r="H47" s="303">
        <v>0</v>
      </c>
      <c r="I47" s="303">
        <v>0</v>
      </c>
      <c r="J47" s="403">
        <f t="shared" si="4"/>
        <v>0</v>
      </c>
      <c r="K47" s="464">
        <v>0</v>
      </c>
      <c r="L47" s="387">
        <f t="shared" si="5"/>
        <v>0</v>
      </c>
      <c r="M47" s="268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2:40" ht="22.5" customHeight="1">
      <c r="B48" s="201">
        <v>7</v>
      </c>
      <c r="C48" s="206" t="s">
        <v>18</v>
      </c>
      <c r="D48" s="206" t="s">
        <v>92</v>
      </c>
      <c r="E48" s="377" t="s">
        <v>289</v>
      </c>
      <c r="F48" s="386">
        <v>4053</v>
      </c>
      <c r="G48" s="303">
        <v>2.735</v>
      </c>
      <c r="H48" s="303">
        <v>0</v>
      </c>
      <c r="I48" s="303">
        <v>4</v>
      </c>
      <c r="J48" s="403">
        <f t="shared" si="4"/>
        <v>6.734999999999999</v>
      </c>
      <c r="K48" s="464">
        <v>4</v>
      </c>
      <c r="L48" s="387">
        <f t="shared" si="5"/>
        <v>1</v>
      </c>
      <c r="M48" s="268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</row>
    <row r="49" spans="2:40" ht="22.5" customHeight="1">
      <c r="B49" s="201">
        <v>8</v>
      </c>
      <c r="C49" s="206"/>
      <c r="D49" s="206" t="s">
        <v>93</v>
      </c>
      <c r="E49" s="377" t="s">
        <v>290</v>
      </c>
      <c r="F49" s="386">
        <v>18740</v>
      </c>
      <c r="G49" s="303">
        <v>6.706</v>
      </c>
      <c r="H49" s="303">
        <v>10.084</v>
      </c>
      <c r="I49" s="303">
        <v>7.849</v>
      </c>
      <c r="J49" s="403">
        <f t="shared" si="4"/>
        <v>24.639</v>
      </c>
      <c r="K49" s="464">
        <v>17.933</v>
      </c>
      <c r="L49" s="387">
        <f t="shared" si="5"/>
        <v>1</v>
      </c>
      <c r="M49" s="268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</row>
    <row r="50" spans="2:40" ht="22.5" customHeight="1">
      <c r="B50" s="201">
        <v>9</v>
      </c>
      <c r="C50" s="206" t="s">
        <v>12</v>
      </c>
      <c r="D50" s="206" t="s">
        <v>145</v>
      </c>
      <c r="E50" s="377" t="s">
        <v>291</v>
      </c>
      <c r="F50" s="386">
        <v>2335</v>
      </c>
      <c r="G50" s="303">
        <v>0.361</v>
      </c>
      <c r="H50" s="422">
        <v>0</v>
      </c>
      <c r="I50" s="303">
        <v>0.229</v>
      </c>
      <c r="J50" s="403">
        <f t="shared" si="4"/>
        <v>0.59</v>
      </c>
      <c r="K50" s="464">
        <v>0.229</v>
      </c>
      <c r="L50" s="387">
        <f t="shared" si="5"/>
        <v>1</v>
      </c>
      <c r="M50" s="268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441"/>
      <c r="AK50" s="180"/>
      <c r="AL50" s="180"/>
      <c r="AM50" s="180"/>
      <c r="AN50" s="180"/>
    </row>
    <row r="51" spans="2:40" ht="22.5" customHeight="1">
      <c r="B51" s="201">
        <v>10</v>
      </c>
      <c r="C51" s="206"/>
      <c r="D51" s="206" t="s">
        <v>154</v>
      </c>
      <c r="E51" s="203" t="s">
        <v>292</v>
      </c>
      <c r="F51" s="386">
        <v>1060</v>
      </c>
      <c r="G51" s="303">
        <v>0.361</v>
      </c>
      <c r="H51" s="303">
        <v>0</v>
      </c>
      <c r="I51" s="303">
        <v>0.265</v>
      </c>
      <c r="J51" s="403">
        <f t="shared" si="4"/>
        <v>0.626</v>
      </c>
      <c r="K51" s="464">
        <v>0.265</v>
      </c>
      <c r="L51" s="387">
        <f t="shared" si="5"/>
        <v>1</v>
      </c>
      <c r="M51" s="268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441"/>
      <c r="AK51" s="180"/>
      <c r="AL51" s="180"/>
      <c r="AM51" s="180"/>
      <c r="AN51" s="180"/>
    </row>
    <row r="52" spans="2:40" ht="22.5" customHeight="1">
      <c r="B52" s="201">
        <v>11</v>
      </c>
      <c r="C52" s="206" t="s">
        <v>14</v>
      </c>
      <c r="D52" s="206" t="s">
        <v>152</v>
      </c>
      <c r="E52" s="377" t="s">
        <v>293</v>
      </c>
      <c r="F52" s="215" t="s">
        <v>153</v>
      </c>
      <c r="G52" s="403">
        <v>0</v>
      </c>
      <c r="H52" s="403">
        <v>0</v>
      </c>
      <c r="I52" s="403">
        <v>0</v>
      </c>
      <c r="J52" s="403">
        <f t="shared" si="4"/>
        <v>0</v>
      </c>
      <c r="K52" s="464">
        <v>0</v>
      </c>
      <c r="L52" s="387">
        <f t="shared" si="5"/>
        <v>0</v>
      </c>
      <c r="M52" s="268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</row>
    <row r="53" spans="2:40" ht="22.5" customHeight="1" thickBot="1">
      <c r="B53" s="223" t="s">
        <v>363</v>
      </c>
      <c r="C53" s="508" t="s">
        <v>132</v>
      </c>
      <c r="D53" s="508"/>
      <c r="E53" s="388"/>
      <c r="F53" s="412">
        <f>SUM(F42:F52)</f>
        <v>44611</v>
      </c>
      <c r="G53" s="396">
        <f>SUM(G42:G52)</f>
        <v>87.55100000000002</v>
      </c>
      <c r="H53" s="396">
        <f>SUM(H42:H52)</f>
        <v>19.502</v>
      </c>
      <c r="I53" s="396">
        <f>SUM(I42:I52)</f>
        <v>20.462000000000003</v>
      </c>
      <c r="J53" s="396">
        <f>SUM(G53+H53+I53)</f>
        <v>127.51500000000001</v>
      </c>
      <c r="K53" s="423">
        <f>SUM(K42:K52)</f>
        <v>39.964</v>
      </c>
      <c r="L53" s="389">
        <f>IF(K53=0,0,(IF(J53/K53&gt;1,1,J53/K53)))</f>
        <v>1</v>
      </c>
      <c r="M53" s="268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</row>
    <row r="54" spans="2:40" ht="22.5" customHeight="1" thickBot="1">
      <c r="B54" s="225" t="s">
        <v>77</v>
      </c>
      <c r="C54" s="500" t="s">
        <v>78</v>
      </c>
      <c r="D54" s="500"/>
      <c r="E54" s="258"/>
      <c r="F54" s="413"/>
      <c r="G54" s="401"/>
      <c r="H54" s="402"/>
      <c r="I54" s="402"/>
      <c r="J54" s="402"/>
      <c r="K54" s="448"/>
      <c r="L54" s="335"/>
      <c r="M54" s="267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</row>
    <row r="55" spans="2:40" ht="22.5" customHeight="1">
      <c r="B55" s="228">
        <v>1</v>
      </c>
      <c r="C55" s="248" t="s">
        <v>13</v>
      </c>
      <c r="D55" s="248" t="s">
        <v>175</v>
      </c>
      <c r="E55" s="383" t="s">
        <v>294</v>
      </c>
      <c r="F55" s="384">
        <v>1379</v>
      </c>
      <c r="G55" s="406">
        <v>8.001</v>
      </c>
      <c r="H55" s="406">
        <v>0.025</v>
      </c>
      <c r="I55" s="406">
        <v>0.15</v>
      </c>
      <c r="J55" s="407">
        <f>+I55+H55+G55</f>
        <v>8.176</v>
      </c>
      <c r="K55" s="461">
        <v>1.724</v>
      </c>
      <c r="L55" s="250">
        <f>IF(K55=0,0,(IF(J55/K55&gt;1,1,J55/K55)))</f>
        <v>1</v>
      </c>
      <c r="M55" s="259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373" t="s">
        <v>381</v>
      </c>
      <c r="AL55" s="180"/>
      <c r="AM55" s="180"/>
      <c r="AN55" s="180"/>
    </row>
    <row r="56" spans="2:40" ht="22.5" customHeight="1">
      <c r="B56" s="201">
        <v>2</v>
      </c>
      <c r="C56" s="206"/>
      <c r="D56" s="206" t="s">
        <v>148</v>
      </c>
      <c r="E56" s="377" t="s">
        <v>295</v>
      </c>
      <c r="F56" s="386">
        <v>989</v>
      </c>
      <c r="G56" s="408">
        <v>0.205</v>
      </c>
      <c r="H56" s="408">
        <v>0</v>
      </c>
      <c r="I56" s="408">
        <v>0.384</v>
      </c>
      <c r="J56" s="407">
        <f aca="true" t="shared" si="6" ref="J56:J69">+I56+H56+G56</f>
        <v>0.589</v>
      </c>
      <c r="K56" s="462">
        <v>0.998</v>
      </c>
      <c r="L56" s="240">
        <f>IF(K56=0,0,(IF(J56/K56&gt;1,1,J56/K56)))</f>
        <v>0.5901803607214429</v>
      </c>
      <c r="M56" s="259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</row>
    <row r="57" spans="2:40" ht="22.5" customHeight="1">
      <c r="B57" s="201">
        <v>3</v>
      </c>
      <c r="C57" s="206" t="s">
        <v>14</v>
      </c>
      <c r="D57" s="206" t="s">
        <v>15</v>
      </c>
      <c r="E57" s="377" t="s">
        <v>296</v>
      </c>
      <c r="F57" s="386">
        <v>5137</v>
      </c>
      <c r="G57" s="408">
        <v>0</v>
      </c>
      <c r="H57" s="408">
        <v>0</v>
      </c>
      <c r="I57" s="408">
        <v>0</v>
      </c>
      <c r="J57" s="407">
        <f t="shared" si="6"/>
        <v>0</v>
      </c>
      <c r="K57" s="462">
        <v>0</v>
      </c>
      <c r="L57" s="240">
        <f>IF(K57=0,0,(IF(J57/K57&gt;1,1,J57/K57)))</f>
        <v>0</v>
      </c>
      <c r="M57" s="259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</row>
    <row r="58" spans="2:40" ht="22.5" customHeight="1">
      <c r="B58" s="201">
        <v>4</v>
      </c>
      <c r="C58" s="206" t="s">
        <v>18</v>
      </c>
      <c r="D58" s="314" t="s">
        <v>359</v>
      </c>
      <c r="E58" s="377" t="s">
        <v>360</v>
      </c>
      <c r="F58" s="386">
        <v>9818</v>
      </c>
      <c r="G58" s="408">
        <v>4.429</v>
      </c>
      <c r="H58" s="408">
        <v>1</v>
      </c>
      <c r="I58" s="408">
        <v>0</v>
      </c>
      <c r="J58" s="407">
        <f>I58+H58+G58</f>
        <v>5.429</v>
      </c>
      <c r="K58" s="462">
        <v>10.947</v>
      </c>
      <c r="L58" s="240">
        <f>IF(K58=0,0,(IF(J58/K58&gt;1,1,J58/K58)))</f>
        <v>0.4959349593495936</v>
      </c>
      <c r="M58" s="259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</row>
    <row r="59" spans="2:40" ht="22.5" customHeight="1">
      <c r="B59" s="201">
        <v>5</v>
      </c>
      <c r="C59" s="206" t="s">
        <v>20</v>
      </c>
      <c r="D59" s="206" t="s">
        <v>149</v>
      </c>
      <c r="E59" s="377" t="s">
        <v>297</v>
      </c>
      <c r="F59" s="386">
        <v>1590</v>
      </c>
      <c r="G59" s="408">
        <v>0.667</v>
      </c>
      <c r="H59" s="408">
        <v>1.39</v>
      </c>
      <c r="I59" s="408">
        <v>0</v>
      </c>
      <c r="J59" s="407">
        <f t="shared" si="6"/>
        <v>2.057</v>
      </c>
      <c r="K59" s="462">
        <v>0.804</v>
      </c>
      <c r="L59" s="240">
        <f aca="true" t="shared" si="7" ref="L59:L68">IF(K59=0,0,(IF(J59/K59&gt;1,1,J59/K59)))</f>
        <v>1</v>
      </c>
      <c r="M59" s="259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</row>
    <row r="60" spans="2:40" ht="22.5" customHeight="1">
      <c r="B60" s="201">
        <v>6</v>
      </c>
      <c r="C60" s="206" t="s">
        <v>24</v>
      </c>
      <c r="D60" s="252" t="s">
        <v>254</v>
      </c>
      <c r="E60" s="377" t="s">
        <v>298</v>
      </c>
      <c r="F60" s="386">
        <v>163</v>
      </c>
      <c r="G60" s="408">
        <v>0</v>
      </c>
      <c r="H60" s="408">
        <v>0.115</v>
      </c>
      <c r="I60" s="408">
        <v>0.045</v>
      </c>
      <c r="J60" s="407">
        <f>G60+H60+I60</f>
        <v>0.16</v>
      </c>
      <c r="K60" s="462">
        <v>0.128</v>
      </c>
      <c r="L60" s="240">
        <f t="shared" si="7"/>
        <v>1</v>
      </c>
      <c r="M60" s="259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</row>
    <row r="61" spans="2:40" ht="22.5" customHeight="1">
      <c r="B61" s="201">
        <v>7</v>
      </c>
      <c r="C61" s="206" t="s">
        <v>22</v>
      </c>
      <c r="D61" s="206" t="s">
        <v>150</v>
      </c>
      <c r="E61" s="377" t="s">
        <v>299</v>
      </c>
      <c r="F61" s="386">
        <v>1302</v>
      </c>
      <c r="G61" s="408">
        <v>0.963</v>
      </c>
      <c r="H61" s="408">
        <v>0.379</v>
      </c>
      <c r="I61" s="408">
        <v>0.421</v>
      </c>
      <c r="J61" s="407">
        <f t="shared" si="6"/>
        <v>1.763</v>
      </c>
      <c r="K61" s="462">
        <v>1.042</v>
      </c>
      <c r="L61" s="240">
        <f t="shared" si="7"/>
        <v>1</v>
      </c>
      <c r="M61" s="259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</row>
    <row r="62" spans="2:40" ht="22.5" customHeight="1">
      <c r="B62" s="201">
        <v>8</v>
      </c>
      <c r="C62" s="206" t="s">
        <v>24</v>
      </c>
      <c r="D62" s="206" t="s">
        <v>25</v>
      </c>
      <c r="E62" s="377" t="s">
        <v>300</v>
      </c>
      <c r="F62" s="386">
        <v>2805</v>
      </c>
      <c r="G62" s="408">
        <v>1.9</v>
      </c>
      <c r="H62" s="408">
        <v>0.17</v>
      </c>
      <c r="I62" s="408">
        <v>0.907</v>
      </c>
      <c r="J62" s="407">
        <f t="shared" si="6"/>
        <v>2.977</v>
      </c>
      <c r="K62" s="462">
        <v>2.131</v>
      </c>
      <c r="L62" s="240">
        <f t="shared" si="7"/>
        <v>1</v>
      </c>
      <c r="M62" s="259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</row>
    <row r="63" spans="2:40" ht="22.5" customHeight="1">
      <c r="B63" s="201">
        <v>9</v>
      </c>
      <c r="C63" s="206"/>
      <c r="D63" s="206" t="s">
        <v>151</v>
      </c>
      <c r="E63" s="377" t="s">
        <v>301</v>
      </c>
      <c r="F63" s="386">
        <v>683</v>
      </c>
      <c r="G63" s="408">
        <v>0</v>
      </c>
      <c r="H63" s="408">
        <v>0</v>
      </c>
      <c r="I63" s="408">
        <v>0.437</v>
      </c>
      <c r="J63" s="407">
        <f t="shared" si="6"/>
        <v>0.437</v>
      </c>
      <c r="K63" s="462">
        <v>0.488</v>
      </c>
      <c r="L63" s="240">
        <f t="shared" si="7"/>
        <v>0.8954918032786885</v>
      </c>
      <c r="M63" s="259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</row>
    <row r="64" spans="2:40" ht="22.5" customHeight="1">
      <c r="B64" s="201">
        <v>10</v>
      </c>
      <c r="C64" s="206" t="s">
        <v>26</v>
      </c>
      <c r="D64" s="206" t="s">
        <v>27</v>
      </c>
      <c r="E64" s="377" t="s">
        <v>302</v>
      </c>
      <c r="F64" s="386">
        <v>2617</v>
      </c>
      <c r="G64" s="408">
        <v>1.21</v>
      </c>
      <c r="H64" s="408">
        <v>0.63</v>
      </c>
      <c r="I64" s="408">
        <v>0.06</v>
      </c>
      <c r="J64" s="407">
        <f>G64+H64+I64</f>
        <v>1.9</v>
      </c>
      <c r="K64" s="462">
        <v>2.327</v>
      </c>
      <c r="L64" s="240">
        <f t="shared" si="7"/>
        <v>0.8165019338203695</v>
      </c>
      <c r="M64" s="259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</row>
    <row r="65" spans="2:40" ht="22.5" customHeight="1">
      <c r="B65" s="201">
        <v>11</v>
      </c>
      <c r="C65" s="206"/>
      <c r="D65" s="206" t="s">
        <v>143</v>
      </c>
      <c r="E65" s="377" t="s">
        <v>303</v>
      </c>
      <c r="F65" s="386">
        <v>1536</v>
      </c>
      <c r="G65" s="408">
        <v>0.442</v>
      </c>
      <c r="H65" s="408">
        <v>0.115</v>
      </c>
      <c r="I65" s="408">
        <v>0</v>
      </c>
      <c r="J65" s="407">
        <f>G65+H65+I65</f>
        <v>0.557</v>
      </c>
      <c r="K65" s="462">
        <v>0.338</v>
      </c>
      <c r="L65" s="240">
        <f t="shared" si="7"/>
        <v>1</v>
      </c>
      <c r="M65" s="259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</row>
    <row r="66" spans="2:40" ht="22.5" customHeight="1">
      <c r="B66" s="201">
        <v>12</v>
      </c>
      <c r="C66" s="206" t="s">
        <v>18</v>
      </c>
      <c r="D66" s="206" t="s">
        <v>382</v>
      </c>
      <c r="E66" s="377" t="s">
        <v>296</v>
      </c>
      <c r="F66" s="386">
        <v>7938</v>
      </c>
      <c r="G66" s="408">
        <v>40.908</v>
      </c>
      <c r="H66" s="408">
        <v>0</v>
      </c>
      <c r="I66" s="408">
        <v>3</v>
      </c>
      <c r="J66" s="407">
        <f t="shared" si="6"/>
        <v>43.908</v>
      </c>
      <c r="K66" s="462">
        <v>6.729</v>
      </c>
      <c r="L66" s="240">
        <f t="shared" si="7"/>
        <v>1</v>
      </c>
      <c r="M66" s="259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</row>
    <row r="67" spans="2:40" ht="22.5" customHeight="1">
      <c r="B67" s="201">
        <v>13</v>
      </c>
      <c r="C67" s="206"/>
      <c r="D67" s="206" t="s">
        <v>236</v>
      </c>
      <c r="E67" s="377" t="s">
        <v>296</v>
      </c>
      <c r="F67" s="386">
        <v>16055</v>
      </c>
      <c r="G67" s="408">
        <v>21.314</v>
      </c>
      <c r="H67" s="408">
        <v>13.1</v>
      </c>
      <c r="I67" s="408">
        <v>0</v>
      </c>
      <c r="J67" s="407">
        <f>G67+H67+I67</f>
        <v>34.414</v>
      </c>
      <c r="K67" s="462">
        <v>11.883</v>
      </c>
      <c r="L67" s="240">
        <f t="shared" si="7"/>
        <v>1</v>
      </c>
      <c r="M67" s="259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</row>
    <row r="68" spans="2:40" ht="22.5" customHeight="1">
      <c r="B68" s="201">
        <v>14</v>
      </c>
      <c r="C68" s="206"/>
      <c r="D68" s="206" t="s">
        <v>237</v>
      </c>
      <c r="E68" s="377" t="s">
        <v>304</v>
      </c>
      <c r="F68" s="386">
        <v>37451</v>
      </c>
      <c r="G68" s="408">
        <v>24</v>
      </c>
      <c r="H68" s="424">
        <v>14.718</v>
      </c>
      <c r="I68" s="408">
        <v>13.822</v>
      </c>
      <c r="J68" s="407">
        <f>I68+H68+G68</f>
        <v>52.54</v>
      </c>
      <c r="K68" s="462">
        <v>28.4</v>
      </c>
      <c r="L68" s="240">
        <f t="shared" si="7"/>
        <v>1</v>
      </c>
      <c r="M68" s="259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</row>
    <row r="69" spans="2:40" ht="22.5" customHeight="1" thickBot="1">
      <c r="B69" s="210"/>
      <c r="C69" s="497" t="s">
        <v>133</v>
      </c>
      <c r="D69" s="497"/>
      <c r="E69" s="253"/>
      <c r="F69" s="253">
        <f>SUM(F55:F68)</f>
        <v>89463</v>
      </c>
      <c r="G69" s="337">
        <f>SUM(G55:G68)</f>
        <v>104.039</v>
      </c>
      <c r="H69" s="315">
        <f>SUM(H55:H68)</f>
        <v>31.642</v>
      </c>
      <c r="I69" s="315">
        <f>SUM(I55:I68)</f>
        <v>19.226</v>
      </c>
      <c r="J69" s="336">
        <f t="shared" si="6"/>
        <v>154.90699999999998</v>
      </c>
      <c r="K69" s="315">
        <f>SUM(K55:K68)</f>
        <v>67.939</v>
      </c>
      <c r="L69" s="338">
        <f>IF((J69/K69)&gt;1,1,J69/K69)</f>
        <v>1</v>
      </c>
      <c r="M69" s="269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</row>
    <row r="70" spans="2:13" ht="24.75" customHeight="1" thickBot="1">
      <c r="B70" s="126"/>
      <c r="C70" s="175"/>
      <c r="D70" s="175"/>
      <c r="E70" s="175"/>
      <c r="G70" s="53"/>
      <c r="H70" s="176"/>
      <c r="I70" s="176"/>
      <c r="J70" s="176"/>
      <c r="K70" s="176"/>
      <c r="L70" s="177"/>
      <c r="M70" s="270"/>
    </row>
    <row r="71" spans="4:10" ht="16.5" thickBot="1">
      <c r="D71" s="354"/>
      <c r="E71" s="212" t="s">
        <v>372</v>
      </c>
      <c r="F71" s="49"/>
      <c r="G71" s="390" t="s">
        <v>380</v>
      </c>
      <c r="H71" s="322" t="s">
        <v>376</v>
      </c>
      <c r="I71" s="212"/>
      <c r="J71" s="351"/>
    </row>
    <row r="72" spans="4:10" ht="16.5" thickBot="1">
      <c r="D72" s="323"/>
      <c r="E72" s="213"/>
      <c r="F72" s="340"/>
      <c r="H72" s="322"/>
      <c r="I72" s="213"/>
      <c r="J72" s="351"/>
    </row>
    <row r="73" spans="4:10" ht="16.5" thickBot="1">
      <c r="D73" s="355"/>
      <c r="E73" s="212" t="s">
        <v>373</v>
      </c>
      <c r="F73" s="340"/>
      <c r="G73" s="390" t="s">
        <v>380</v>
      </c>
      <c r="H73" s="322" t="s">
        <v>377</v>
      </c>
      <c r="I73" s="212"/>
      <c r="J73" s="352"/>
    </row>
    <row r="74" spans="4:10" ht="16.5" thickBot="1">
      <c r="D74" s="323"/>
      <c r="E74" s="213"/>
      <c r="F74" s="340"/>
      <c r="H74" s="322"/>
      <c r="I74" s="213"/>
      <c r="J74" s="261"/>
    </row>
    <row r="75" spans="4:10" ht="16.5" thickBot="1">
      <c r="D75" s="356"/>
      <c r="E75" s="212" t="s">
        <v>374</v>
      </c>
      <c r="F75" s="340"/>
      <c r="G75" s="390" t="s">
        <v>380</v>
      </c>
      <c r="H75" s="322" t="s">
        <v>378</v>
      </c>
      <c r="I75" s="212"/>
      <c r="J75" s="261"/>
    </row>
    <row r="76" spans="4:10" ht="16.5" thickBot="1">
      <c r="D76" s="323"/>
      <c r="E76" s="213"/>
      <c r="F76" s="340"/>
      <c r="H76" s="322"/>
      <c r="I76" s="213"/>
      <c r="J76" s="261"/>
    </row>
    <row r="77" spans="4:10" ht="16.5" thickBot="1">
      <c r="D77" s="357"/>
      <c r="E77" s="212" t="s">
        <v>375</v>
      </c>
      <c r="F77" s="340"/>
      <c r="G77" s="390" t="s">
        <v>380</v>
      </c>
      <c r="H77" s="322" t="s">
        <v>379</v>
      </c>
      <c r="I77" s="212"/>
      <c r="J77" s="261"/>
    </row>
    <row r="78" ht="12.75">
      <c r="F78" s="340"/>
    </row>
  </sheetData>
  <sheetProtection/>
  <mergeCells count="15">
    <mergeCell ref="C69:D69"/>
    <mergeCell ref="C41:D41"/>
    <mergeCell ref="C54:D54"/>
    <mergeCell ref="C5:C7"/>
    <mergeCell ref="B2:L2"/>
    <mergeCell ref="L6:L7"/>
    <mergeCell ref="G41:K41"/>
    <mergeCell ref="C40:D40"/>
    <mergeCell ref="C53:D53"/>
    <mergeCell ref="C9:D9"/>
    <mergeCell ref="B1:L1"/>
    <mergeCell ref="B3:L3"/>
    <mergeCell ref="B5:B7"/>
    <mergeCell ref="H5:I5"/>
    <mergeCell ref="D5:D7"/>
  </mergeCells>
  <conditionalFormatting sqref="L10:L40 L55:L69 L42:L53">
    <cfRule type="cellIs" priority="4" dxfId="3" operator="lessThan">
      <formula>0.3</formula>
    </cfRule>
  </conditionalFormatting>
  <conditionalFormatting sqref="L10:L39 L55:L68 L42:L52">
    <cfRule type="cellIs" priority="2" dxfId="2" operator="between">
      <formula>0.5</formula>
      <formula>0.7</formula>
    </cfRule>
    <cfRule type="cellIs" priority="3" dxfId="1" operator="greaterThan">
      <formula>0.7</formula>
    </cfRule>
  </conditionalFormatting>
  <conditionalFormatting sqref="L10:L39 L55:L68 L42:L53">
    <cfRule type="cellIs" priority="1" dxfId="0" operator="between">
      <formula>0.3</formula>
      <formula>0.5</formula>
    </cfRule>
  </conditionalFormatting>
  <printOptions horizontalCentered="1" verticalCentered="1"/>
  <pageMargins left="0.7" right="0.7" top="0.15" bottom="0.12" header="0.3" footer="0.3"/>
  <pageSetup horizontalDpi="600" verticalDpi="600" orientation="portrait" scale="45" r:id="rId2"/>
  <ignoredErrors>
    <ignoredError sqref="J58 J69 J60 J2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G25" sqref="G25"/>
    </sheetView>
  </sheetViews>
  <sheetFormatPr defaultColWidth="9.140625" defaultRowHeight="12.75"/>
  <cols>
    <col min="4" max="4" width="20.71093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7109375" style="0" customWidth="1"/>
    <col min="10" max="10" width="11.8515625" style="0" customWidth="1"/>
    <col min="11" max="11" width="10.00390625" style="0" customWidth="1"/>
    <col min="12" max="12" width="13.140625" style="0" customWidth="1"/>
    <col min="13" max="13" width="18.00390625" style="0" customWidth="1"/>
    <col min="14" max="14" width="14.421875" style="0" customWidth="1"/>
    <col min="15" max="15" width="18.00390625" style="0" customWidth="1"/>
    <col min="16" max="16" width="21.8515625" style="0" customWidth="1"/>
    <col min="17" max="17" width="22.57421875" style="0" customWidth="1"/>
    <col min="18" max="18" width="18.00390625" style="0" customWidth="1"/>
    <col min="19" max="19" width="14.140625" style="0" customWidth="1"/>
  </cols>
  <sheetData>
    <row r="1" spans="1:13" ht="24.75">
      <c r="A1" s="510" t="s">
        <v>71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25"/>
      <c r="M1" s="22"/>
    </row>
    <row r="2" spans="1:13" ht="24.75">
      <c r="A2" s="510" t="s">
        <v>141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125"/>
      <c r="M2" s="22"/>
    </row>
    <row r="3" spans="1:13" ht="21.75">
      <c r="A3" s="511" t="s">
        <v>184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38"/>
      <c r="M3" s="113"/>
    </row>
    <row r="4" spans="1:13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3" ht="17.25" thickBot="1" thickTop="1">
      <c r="A5" s="512" t="s">
        <v>0</v>
      </c>
      <c r="B5" s="514" t="s">
        <v>95</v>
      </c>
      <c r="C5" s="515"/>
      <c r="D5" s="520" t="s">
        <v>4</v>
      </c>
      <c r="E5" s="103" t="s">
        <v>51</v>
      </c>
      <c r="F5" s="105" t="s">
        <v>57</v>
      </c>
      <c r="G5" s="522" t="s">
        <v>54</v>
      </c>
      <c r="H5" s="523"/>
      <c r="I5" s="109" t="s">
        <v>57</v>
      </c>
      <c r="J5" s="111" t="s">
        <v>57</v>
      </c>
      <c r="K5" s="114" t="s">
        <v>60</v>
      </c>
      <c r="L5" s="147"/>
      <c r="M5" s="66"/>
    </row>
    <row r="6" spans="1:13" ht="15.75">
      <c r="A6" s="513"/>
      <c r="B6" s="516"/>
      <c r="C6" s="517"/>
      <c r="D6" s="521"/>
      <c r="E6" s="104" t="s">
        <v>52</v>
      </c>
      <c r="F6" s="106" t="s">
        <v>62</v>
      </c>
      <c r="G6" s="107" t="s">
        <v>55</v>
      </c>
      <c r="H6" s="108" t="s">
        <v>56</v>
      </c>
      <c r="I6" s="110" t="s">
        <v>58</v>
      </c>
      <c r="J6" s="112" t="s">
        <v>59</v>
      </c>
      <c r="K6" s="524" t="s">
        <v>61</v>
      </c>
      <c r="L6" s="160"/>
      <c r="M6" s="66"/>
    </row>
    <row r="7" spans="1:13" ht="19.5" thickBot="1">
      <c r="A7" s="513"/>
      <c r="B7" s="518"/>
      <c r="C7" s="519"/>
      <c r="D7" s="521"/>
      <c r="E7" s="104" t="s">
        <v>53</v>
      </c>
      <c r="F7" s="117" t="s">
        <v>98</v>
      </c>
      <c r="G7" s="118" t="s">
        <v>98</v>
      </c>
      <c r="H7" s="119" t="s">
        <v>98</v>
      </c>
      <c r="I7" s="115" t="s">
        <v>98</v>
      </c>
      <c r="J7" s="116" t="s">
        <v>98</v>
      </c>
      <c r="K7" s="525"/>
      <c r="L7" s="161"/>
      <c r="M7" s="22"/>
    </row>
    <row r="8" spans="1:13" ht="16.5" thickBot="1">
      <c r="A8" s="120">
        <v>1</v>
      </c>
      <c r="B8" s="121">
        <v>2</v>
      </c>
      <c r="C8" s="122"/>
      <c r="D8" s="123">
        <v>3</v>
      </c>
      <c r="E8" s="123">
        <v>4</v>
      </c>
      <c r="F8" s="123">
        <v>5</v>
      </c>
      <c r="G8" s="123">
        <v>6</v>
      </c>
      <c r="H8" s="123">
        <v>7</v>
      </c>
      <c r="I8" s="123" t="s">
        <v>64</v>
      </c>
      <c r="J8" s="123">
        <v>9</v>
      </c>
      <c r="K8" s="124">
        <v>10</v>
      </c>
      <c r="L8" s="162"/>
      <c r="M8" s="22"/>
    </row>
    <row r="9" spans="1:18" ht="17.25" thickBot="1" thickTop="1">
      <c r="A9" s="21" t="s">
        <v>73</v>
      </c>
      <c r="B9" s="531" t="s">
        <v>74</v>
      </c>
      <c r="C9" s="532"/>
      <c r="D9" s="532"/>
      <c r="E9" s="16"/>
      <c r="F9" s="16"/>
      <c r="G9" s="16"/>
      <c r="H9" s="16"/>
      <c r="I9" s="16"/>
      <c r="J9" s="16"/>
      <c r="K9" s="24"/>
      <c r="L9" s="126"/>
      <c r="M9" s="159" t="s">
        <v>185</v>
      </c>
      <c r="N9" s="167" t="s">
        <v>186</v>
      </c>
      <c r="O9" s="167" t="s">
        <v>187</v>
      </c>
      <c r="P9" s="167" t="s">
        <v>188</v>
      </c>
      <c r="Q9" s="167" t="s">
        <v>189</v>
      </c>
      <c r="R9" s="167"/>
    </row>
    <row r="10" spans="1:18" ht="16.5" thickTop="1">
      <c r="A10" s="27">
        <v>1</v>
      </c>
      <c r="B10" s="2" t="s">
        <v>3</v>
      </c>
      <c r="C10" s="39">
        <v>1</v>
      </c>
      <c r="D10" s="9" t="s">
        <v>6</v>
      </c>
      <c r="E10" s="18">
        <v>26952</v>
      </c>
      <c r="F10" s="40">
        <v>110.363</v>
      </c>
      <c r="G10" s="54">
        <v>24.947</v>
      </c>
      <c r="H10" s="54" t="s">
        <v>70</v>
      </c>
      <c r="I10" s="55">
        <f aca="true" t="shared" si="0" ref="I10:I17">+H10+G10+F10</f>
        <v>135.31</v>
      </c>
      <c r="J10" s="10">
        <v>24.947</v>
      </c>
      <c r="K10" s="164">
        <v>1</v>
      </c>
      <c r="L10" s="127"/>
      <c r="M10" s="173">
        <f>+E10</f>
        <v>26952</v>
      </c>
      <c r="N10" s="171">
        <f>+M10*1</f>
        <v>26952</v>
      </c>
      <c r="O10" s="170">
        <f>60*60*24</f>
        <v>86400</v>
      </c>
      <c r="P10" s="170">
        <f>+O10*N10</f>
        <v>2328652800</v>
      </c>
      <c r="Q10" s="170">
        <f>+P10/1000</f>
        <v>2328652.8</v>
      </c>
      <c r="R10" s="170"/>
    </row>
    <row r="11" spans="1:18" ht="15.75">
      <c r="A11" s="25"/>
      <c r="B11" s="2"/>
      <c r="C11" s="39">
        <f>+C10+1</f>
        <v>2</v>
      </c>
      <c r="D11" s="3" t="s">
        <v>5</v>
      </c>
      <c r="E11" s="12">
        <v>727</v>
      </c>
      <c r="F11" s="68">
        <v>0.108</v>
      </c>
      <c r="G11" s="40" t="s">
        <v>70</v>
      </c>
      <c r="H11" s="69">
        <v>1.059</v>
      </c>
      <c r="I11" s="69">
        <f>+H11+G11+F11</f>
        <v>1.167</v>
      </c>
      <c r="J11" s="69">
        <v>1.087</v>
      </c>
      <c r="K11" s="164">
        <v>1</v>
      </c>
      <c r="L11" s="127"/>
      <c r="M11" s="32">
        <f aca="true" t="shared" si="1" ref="M11:M20">+E11</f>
        <v>727</v>
      </c>
      <c r="N11" s="171">
        <f aca="true" t="shared" si="2" ref="N11:N20">1*3600</f>
        <v>3600</v>
      </c>
      <c r="O11" s="168"/>
      <c r="P11" s="168"/>
      <c r="Q11" s="168"/>
      <c r="R11" s="168"/>
    </row>
    <row r="12" spans="1:18" ht="15.75">
      <c r="A12" s="25">
        <v>2</v>
      </c>
      <c r="B12" s="5" t="s">
        <v>7</v>
      </c>
      <c r="C12" s="39">
        <f aca="true" t="shared" si="3" ref="C12:C20">+C11+1</f>
        <v>3</v>
      </c>
      <c r="D12" s="3" t="s">
        <v>65</v>
      </c>
      <c r="E12" s="12">
        <v>7642</v>
      </c>
      <c r="F12" s="62">
        <v>5.332</v>
      </c>
      <c r="G12" s="62">
        <v>7.527</v>
      </c>
      <c r="H12" s="62">
        <v>1.264</v>
      </c>
      <c r="I12" s="35">
        <f t="shared" si="0"/>
        <v>14.123000000000001</v>
      </c>
      <c r="J12" s="62">
        <v>8.791</v>
      </c>
      <c r="K12" s="164">
        <v>1</v>
      </c>
      <c r="L12" s="127"/>
      <c r="M12" s="32">
        <f t="shared" si="1"/>
        <v>7642</v>
      </c>
      <c r="N12" s="171">
        <f t="shared" si="2"/>
        <v>3600</v>
      </c>
      <c r="O12" s="168"/>
      <c r="P12" s="168"/>
      <c r="Q12" s="168"/>
      <c r="R12" s="168"/>
    </row>
    <row r="13" spans="1:18" ht="15.75">
      <c r="A13" s="25"/>
      <c r="B13" s="5"/>
      <c r="C13" s="39">
        <f t="shared" si="3"/>
        <v>4</v>
      </c>
      <c r="D13" s="3" t="s">
        <v>69</v>
      </c>
      <c r="E13" s="12">
        <v>415</v>
      </c>
      <c r="F13" s="35">
        <v>11.242</v>
      </c>
      <c r="G13" s="54">
        <v>0.624</v>
      </c>
      <c r="H13" s="54">
        <v>1.841</v>
      </c>
      <c r="I13" s="10">
        <f>+H13+G13+F13</f>
        <v>13.707</v>
      </c>
      <c r="J13" s="54">
        <v>0.624</v>
      </c>
      <c r="K13" s="165">
        <v>1</v>
      </c>
      <c r="L13" s="127"/>
      <c r="M13" s="32">
        <f t="shared" si="1"/>
        <v>415</v>
      </c>
      <c r="N13" s="171">
        <f t="shared" si="2"/>
        <v>3600</v>
      </c>
      <c r="O13" s="168"/>
      <c r="P13" s="168"/>
      <c r="Q13" s="168"/>
      <c r="R13" s="168"/>
    </row>
    <row r="14" spans="1:18" ht="15">
      <c r="A14" s="25">
        <v>3</v>
      </c>
      <c r="B14" s="5" t="s">
        <v>8</v>
      </c>
      <c r="C14" s="39">
        <f t="shared" si="3"/>
        <v>5</v>
      </c>
      <c r="D14" s="3" t="s">
        <v>66</v>
      </c>
      <c r="E14" s="12">
        <v>3517</v>
      </c>
      <c r="F14" s="62">
        <v>216.76</v>
      </c>
      <c r="G14" s="62" t="s">
        <v>70</v>
      </c>
      <c r="H14" s="62">
        <v>1.353</v>
      </c>
      <c r="I14" s="4">
        <f t="shared" si="0"/>
        <v>218.113</v>
      </c>
      <c r="J14" s="62">
        <v>3.98</v>
      </c>
      <c r="K14" s="165">
        <v>1</v>
      </c>
      <c r="L14" s="163" t="s">
        <v>183</v>
      </c>
      <c r="M14" s="32">
        <f t="shared" si="1"/>
        <v>3517</v>
      </c>
      <c r="N14" s="171">
        <f t="shared" si="2"/>
        <v>3600</v>
      </c>
      <c r="O14" s="168"/>
      <c r="P14" s="168"/>
      <c r="Q14" s="168"/>
      <c r="R14" s="168"/>
    </row>
    <row r="15" spans="1:18" ht="15">
      <c r="A15" s="25"/>
      <c r="B15" s="7"/>
      <c r="C15" s="39">
        <f t="shared" si="3"/>
        <v>6</v>
      </c>
      <c r="D15" s="3" t="s">
        <v>68</v>
      </c>
      <c r="E15" s="12">
        <v>500</v>
      </c>
      <c r="F15" s="35">
        <v>121.754</v>
      </c>
      <c r="G15" s="40" t="s">
        <v>70</v>
      </c>
      <c r="H15" s="40" t="s">
        <v>70</v>
      </c>
      <c r="I15" s="4">
        <f t="shared" si="0"/>
        <v>121.754</v>
      </c>
      <c r="J15" s="40">
        <v>0.446</v>
      </c>
      <c r="K15" s="165">
        <v>1</v>
      </c>
      <c r="L15" s="163" t="s">
        <v>183</v>
      </c>
      <c r="M15" s="32">
        <f t="shared" si="1"/>
        <v>500</v>
      </c>
      <c r="N15" s="171">
        <f t="shared" si="2"/>
        <v>3600</v>
      </c>
      <c r="O15" s="168"/>
      <c r="P15" s="168"/>
      <c r="Q15" s="168"/>
      <c r="R15" s="168"/>
    </row>
    <row r="16" spans="1:18" ht="15">
      <c r="A16" s="23"/>
      <c r="B16" s="3"/>
      <c r="C16" s="39">
        <f t="shared" si="3"/>
        <v>7</v>
      </c>
      <c r="D16" s="3" t="s">
        <v>85</v>
      </c>
      <c r="E16" s="12">
        <v>1176</v>
      </c>
      <c r="F16" s="62">
        <v>106.409</v>
      </c>
      <c r="G16" s="54" t="s">
        <v>70</v>
      </c>
      <c r="H16" s="54" t="s">
        <v>70</v>
      </c>
      <c r="I16" s="10">
        <f t="shared" si="0"/>
        <v>106.409</v>
      </c>
      <c r="J16" s="54">
        <v>1.046</v>
      </c>
      <c r="K16" s="165">
        <v>1</v>
      </c>
      <c r="L16" s="163" t="s">
        <v>183</v>
      </c>
      <c r="M16" s="32">
        <f t="shared" si="1"/>
        <v>1176</v>
      </c>
      <c r="N16" s="171">
        <f t="shared" si="2"/>
        <v>3600</v>
      </c>
      <c r="O16" s="168"/>
      <c r="P16" s="168"/>
      <c r="Q16" s="168"/>
      <c r="R16" s="168"/>
    </row>
    <row r="17" spans="1:18" ht="15">
      <c r="A17" s="23"/>
      <c r="B17" s="7"/>
      <c r="C17" s="39">
        <f t="shared" si="3"/>
        <v>8</v>
      </c>
      <c r="D17" s="8" t="s">
        <v>166</v>
      </c>
      <c r="E17" s="11">
        <v>1.521</v>
      </c>
      <c r="F17" s="62">
        <v>1.945</v>
      </c>
      <c r="G17" s="54" t="s">
        <v>70</v>
      </c>
      <c r="H17" s="54">
        <v>1.332</v>
      </c>
      <c r="I17" s="10">
        <f t="shared" si="0"/>
        <v>3.277</v>
      </c>
      <c r="J17" s="54">
        <v>1.665</v>
      </c>
      <c r="K17" s="165">
        <v>1</v>
      </c>
      <c r="L17" s="163" t="s">
        <v>183</v>
      </c>
      <c r="M17" s="32">
        <f t="shared" si="1"/>
        <v>1.521</v>
      </c>
      <c r="N17" s="171">
        <f t="shared" si="2"/>
        <v>3600</v>
      </c>
      <c r="O17" s="168"/>
      <c r="P17" s="168"/>
      <c r="Q17" s="168"/>
      <c r="R17" s="168"/>
    </row>
    <row r="18" spans="1:18" ht="15">
      <c r="A18" s="23"/>
      <c r="B18" s="7"/>
      <c r="C18" s="39">
        <f t="shared" si="3"/>
        <v>9</v>
      </c>
      <c r="D18" s="8" t="s">
        <v>167</v>
      </c>
      <c r="E18" s="11">
        <v>2.388</v>
      </c>
      <c r="F18" s="62">
        <v>54.681</v>
      </c>
      <c r="G18" s="54" t="s">
        <v>70</v>
      </c>
      <c r="H18" s="54">
        <v>1.945</v>
      </c>
      <c r="I18" s="10">
        <f>+H18+G18+F18</f>
        <v>56.626</v>
      </c>
      <c r="J18" s="54">
        <v>2.48</v>
      </c>
      <c r="K18" s="165">
        <v>1</v>
      </c>
      <c r="L18" s="163" t="s">
        <v>183</v>
      </c>
      <c r="M18" s="32">
        <f t="shared" si="1"/>
        <v>2.388</v>
      </c>
      <c r="N18" s="171">
        <f t="shared" si="2"/>
        <v>3600</v>
      </c>
      <c r="O18" s="168"/>
      <c r="P18" s="168"/>
      <c r="Q18" s="168"/>
      <c r="R18" s="168"/>
    </row>
    <row r="19" spans="1:18" ht="15">
      <c r="A19" s="23"/>
      <c r="B19" s="7"/>
      <c r="C19" s="39">
        <f t="shared" si="3"/>
        <v>10</v>
      </c>
      <c r="D19" s="8" t="s">
        <v>86</v>
      </c>
      <c r="E19" s="13">
        <v>1330</v>
      </c>
      <c r="F19" s="40">
        <v>44.452</v>
      </c>
      <c r="G19" s="40">
        <v>1.877</v>
      </c>
      <c r="H19" s="40" t="s">
        <v>70</v>
      </c>
      <c r="I19" s="4">
        <f>+H19+G19+F19</f>
        <v>46.329</v>
      </c>
      <c r="J19" s="40">
        <v>1.887</v>
      </c>
      <c r="K19" s="166">
        <v>1</v>
      </c>
      <c r="L19" s="163"/>
      <c r="M19" s="32">
        <f t="shared" si="1"/>
        <v>1330</v>
      </c>
      <c r="N19" s="171">
        <f t="shared" si="2"/>
        <v>3600</v>
      </c>
      <c r="O19" s="168"/>
      <c r="P19" s="168"/>
      <c r="Q19" s="168"/>
      <c r="R19" s="168"/>
    </row>
    <row r="20" spans="1:18" ht="15.75" thickBot="1">
      <c r="A20" s="23">
        <v>4</v>
      </c>
      <c r="B20" s="7" t="s">
        <v>9</v>
      </c>
      <c r="C20" s="39">
        <f t="shared" si="3"/>
        <v>11</v>
      </c>
      <c r="D20" s="8" t="s">
        <v>67</v>
      </c>
      <c r="E20" s="13">
        <v>3040</v>
      </c>
      <c r="F20" s="56">
        <v>40.88</v>
      </c>
      <c r="G20" s="54" t="s">
        <v>70</v>
      </c>
      <c r="H20" s="54" t="s">
        <v>70</v>
      </c>
      <c r="I20" s="55">
        <f>+H20+G20+F20</f>
        <v>40.88</v>
      </c>
      <c r="J20" s="149">
        <v>3.47</v>
      </c>
      <c r="K20" s="165">
        <v>1</v>
      </c>
      <c r="L20" s="163" t="s">
        <v>183</v>
      </c>
      <c r="M20" s="32">
        <f t="shared" si="1"/>
        <v>3040</v>
      </c>
      <c r="N20" s="171">
        <f t="shared" si="2"/>
        <v>3600</v>
      </c>
      <c r="O20" s="168"/>
      <c r="P20" s="168"/>
      <c r="Q20" s="168"/>
      <c r="R20" s="168"/>
    </row>
    <row r="21" spans="1:18" ht="18.75" thickBot="1">
      <c r="A21" s="45"/>
      <c r="B21" s="528" t="s">
        <v>131</v>
      </c>
      <c r="C21" s="529"/>
      <c r="D21" s="530"/>
      <c r="E21" s="47">
        <f aca="true" t="shared" si="4" ref="E21:J21">SUM(E10:E20)</f>
        <v>45302.909</v>
      </c>
      <c r="F21" s="46">
        <f t="shared" si="4"/>
        <v>713.9260000000002</v>
      </c>
      <c r="G21" s="46">
        <f t="shared" si="4"/>
        <v>34.975</v>
      </c>
      <c r="H21" s="46">
        <f t="shared" si="4"/>
        <v>8.793999999999999</v>
      </c>
      <c r="I21" s="46">
        <f t="shared" si="4"/>
        <v>757.6949999999999</v>
      </c>
      <c r="J21" s="46">
        <f t="shared" si="4"/>
        <v>50.422999999999995</v>
      </c>
      <c r="K21" s="140">
        <v>1</v>
      </c>
      <c r="L21" s="128"/>
      <c r="M21" s="172">
        <f>SUM(M10:M20)</f>
        <v>45302.909</v>
      </c>
      <c r="N21" s="65"/>
      <c r="O21" s="169"/>
      <c r="P21" s="169"/>
      <c r="Q21" s="169"/>
      <c r="R21" s="169"/>
    </row>
    <row r="22" spans="1:18" ht="24" thickBot="1" thickTop="1">
      <c r="A22" s="26" t="s">
        <v>75</v>
      </c>
      <c r="B22" s="535" t="s">
        <v>76</v>
      </c>
      <c r="C22" s="536"/>
      <c r="D22" s="536"/>
      <c r="E22" s="59"/>
      <c r="F22" s="526"/>
      <c r="G22" s="527"/>
      <c r="H22" s="527"/>
      <c r="I22" s="527"/>
      <c r="J22" s="527"/>
      <c r="K22" s="52"/>
      <c r="L22" s="128"/>
      <c r="M22" s="22"/>
      <c r="N22" s="65"/>
      <c r="O22" s="65"/>
      <c r="P22" s="65"/>
      <c r="Q22" s="65"/>
      <c r="R22" s="65"/>
    </row>
    <row r="23" spans="1:18" ht="18.75" thickTop="1">
      <c r="A23" s="28">
        <v>1</v>
      </c>
      <c r="B23" s="19" t="s">
        <v>9</v>
      </c>
      <c r="C23" s="14">
        <v>1</v>
      </c>
      <c r="D23" s="19" t="s">
        <v>87</v>
      </c>
      <c r="E23" s="20">
        <v>4353</v>
      </c>
      <c r="F23" s="40">
        <v>61.136</v>
      </c>
      <c r="G23" s="40">
        <v>2.944</v>
      </c>
      <c r="H23" s="40">
        <v>2.283</v>
      </c>
      <c r="I23" s="40">
        <f aca="true" t="shared" si="5" ref="I23:I34">+H23+G23+F23</f>
        <v>66.363</v>
      </c>
      <c r="J23" s="40">
        <v>5.227</v>
      </c>
      <c r="K23" s="150">
        <v>1</v>
      </c>
      <c r="L23" s="70"/>
      <c r="M23" s="67">
        <f>SUM(K23:K34)/18</f>
        <v>0.6111111111111112</v>
      </c>
      <c r="N23" s="65"/>
      <c r="O23" s="65"/>
      <c r="P23" s="65"/>
      <c r="Q23" s="65"/>
      <c r="R23" s="65"/>
    </row>
    <row r="24" spans="1:18" ht="18">
      <c r="A24" s="25">
        <f>+A23+1</f>
        <v>2</v>
      </c>
      <c r="B24" s="3" t="s">
        <v>10</v>
      </c>
      <c r="C24" s="6">
        <f>+C23+1</f>
        <v>2</v>
      </c>
      <c r="D24" s="3" t="s">
        <v>11</v>
      </c>
      <c r="E24" s="12">
        <v>8861</v>
      </c>
      <c r="F24" s="40">
        <v>40.663</v>
      </c>
      <c r="G24" s="40">
        <v>2.991</v>
      </c>
      <c r="H24" s="40">
        <v>4.762</v>
      </c>
      <c r="I24" s="40">
        <f t="shared" si="5"/>
        <v>48.416</v>
      </c>
      <c r="J24" s="40">
        <v>7.753</v>
      </c>
      <c r="K24" s="151">
        <v>1</v>
      </c>
      <c r="L24" s="70"/>
      <c r="M24" s="82"/>
      <c r="N24" s="65"/>
      <c r="O24" s="65"/>
      <c r="P24" s="65"/>
      <c r="Q24" s="65"/>
      <c r="R24" s="65"/>
    </row>
    <row r="25" spans="1:18" ht="18">
      <c r="A25" s="25"/>
      <c r="B25" s="3"/>
      <c r="C25" s="6">
        <f aca="true" t="shared" si="6" ref="C25:C34">+C24+1</f>
        <v>3</v>
      </c>
      <c r="D25" s="3" t="s">
        <v>88</v>
      </c>
      <c r="E25" s="12">
        <v>1108</v>
      </c>
      <c r="F25" s="40">
        <v>8.888</v>
      </c>
      <c r="G25" s="40">
        <v>0.789</v>
      </c>
      <c r="H25" s="40">
        <v>1.502</v>
      </c>
      <c r="I25" s="40">
        <f t="shared" si="5"/>
        <v>11.179</v>
      </c>
      <c r="J25" s="40">
        <v>2.291</v>
      </c>
      <c r="K25" s="151">
        <v>1</v>
      </c>
      <c r="L25" s="70"/>
      <c r="M25" s="22"/>
      <c r="N25" s="65"/>
      <c r="O25" s="65"/>
      <c r="P25" s="65"/>
      <c r="Q25" s="65"/>
      <c r="R25" s="65"/>
    </row>
    <row r="26" spans="1:18" ht="18">
      <c r="A26" s="25"/>
      <c r="B26" s="3"/>
      <c r="C26" s="6">
        <f t="shared" si="6"/>
        <v>4</v>
      </c>
      <c r="D26" s="3" t="s">
        <v>89</v>
      </c>
      <c r="E26" s="12">
        <v>2577</v>
      </c>
      <c r="F26" s="40">
        <v>8.305</v>
      </c>
      <c r="G26" s="40">
        <v>2.612</v>
      </c>
      <c r="H26" s="40">
        <v>0.217</v>
      </c>
      <c r="I26" s="40">
        <f t="shared" si="5"/>
        <v>11.134</v>
      </c>
      <c r="J26" s="40">
        <v>2.91</v>
      </c>
      <c r="K26" s="151">
        <v>1</v>
      </c>
      <c r="L26" s="70"/>
      <c r="M26" s="22"/>
      <c r="N26" s="65"/>
      <c r="O26" s="65"/>
      <c r="P26" s="65"/>
      <c r="Q26" s="65"/>
      <c r="R26" s="65"/>
    </row>
    <row r="27" spans="1:18" ht="18">
      <c r="A27" s="25">
        <v>3</v>
      </c>
      <c r="B27" s="3" t="s">
        <v>90</v>
      </c>
      <c r="C27" s="6">
        <f t="shared" si="6"/>
        <v>5</v>
      </c>
      <c r="D27" s="3" t="s">
        <v>144</v>
      </c>
      <c r="E27" s="12">
        <v>464</v>
      </c>
      <c r="F27" s="40">
        <v>4.158</v>
      </c>
      <c r="G27" s="40" t="s">
        <v>70</v>
      </c>
      <c r="H27" s="4">
        <v>0.422</v>
      </c>
      <c r="I27" s="4">
        <f t="shared" si="5"/>
        <v>4.58</v>
      </c>
      <c r="J27" s="4">
        <v>0.422</v>
      </c>
      <c r="K27" s="151">
        <v>1</v>
      </c>
      <c r="L27" s="128"/>
      <c r="M27" s="22"/>
      <c r="N27" s="65"/>
      <c r="O27" s="65"/>
      <c r="P27" s="65"/>
      <c r="Q27" s="65"/>
      <c r="R27" s="65"/>
    </row>
    <row r="28" spans="1:18" ht="18">
      <c r="A28" s="25"/>
      <c r="B28" s="3"/>
      <c r="C28" s="6">
        <f t="shared" si="6"/>
        <v>6</v>
      </c>
      <c r="D28" s="3" t="s">
        <v>91</v>
      </c>
      <c r="E28" s="12">
        <v>1325</v>
      </c>
      <c r="F28" s="40">
        <v>4</v>
      </c>
      <c r="G28" s="40">
        <v>0.997</v>
      </c>
      <c r="H28" s="40">
        <v>0.216</v>
      </c>
      <c r="I28" s="40">
        <f>+H28+G28+F28</f>
        <v>5.213</v>
      </c>
      <c r="J28" s="40">
        <v>1.208</v>
      </c>
      <c r="K28" s="152">
        <v>1</v>
      </c>
      <c r="L28" s="70"/>
      <c r="M28" s="22"/>
      <c r="N28" s="65"/>
      <c r="O28" s="65"/>
      <c r="P28" s="65"/>
      <c r="Q28" s="65"/>
      <c r="R28" s="65"/>
    </row>
    <row r="29" spans="1:18" ht="18">
      <c r="A29" s="25">
        <f>+A27+1</f>
        <v>4</v>
      </c>
      <c r="B29" s="3" t="s">
        <v>18</v>
      </c>
      <c r="C29" s="6">
        <f t="shared" si="6"/>
        <v>7</v>
      </c>
      <c r="D29" s="3" t="s">
        <v>92</v>
      </c>
      <c r="E29" s="12">
        <v>4053</v>
      </c>
      <c r="F29" s="40">
        <v>8.543</v>
      </c>
      <c r="G29" s="40" t="s">
        <v>70</v>
      </c>
      <c r="H29" s="40">
        <v>2.167</v>
      </c>
      <c r="I29" s="40">
        <f>+H29+G29+F29</f>
        <v>10.709999999999999</v>
      </c>
      <c r="J29" s="40">
        <v>2.5</v>
      </c>
      <c r="K29" s="152">
        <v>1</v>
      </c>
      <c r="L29" s="129"/>
      <c r="M29" s="22"/>
      <c r="N29" s="65"/>
      <c r="O29" s="65"/>
      <c r="P29" s="65"/>
      <c r="Q29" s="65"/>
      <c r="R29" s="65"/>
    </row>
    <row r="30" spans="1:18" ht="18">
      <c r="A30" s="25"/>
      <c r="B30" s="3"/>
      <c r="C30" s="6">
        <f t="shared" si="6"/>
        <v>8</v>
      </c>
      <c r="D30" s="3" t="s">
        <v>93</v>
      </c>
      <c r="E30" s="12">
        <v>18740</v>
      </c>
      <c r="F30" s="40">
        <v>35.477</v>
      </c>
      <c r="G30" s="4">
        <v>6.06</v>
      </c>
      <c r="H30" s="4">
        <v>5.812</v>
      </c>
      <c r="I30" s="4">
        <f t="shared" si="5"/>
        <v>47.349</v>
      </c>
      <c r="J30" s="4">
        <v>12.503</v>
      </c>
      <c r="K30" s="152">
        <v>1</v>
      </c>
      <c r="L30" s="128"/>
      <c r="M30" s="22"/>
      <c r="N30" s="65"/>
      <c r="O30" s="65"/>
      <c r="P30" s="65"/>
      <c r="Q30" s="65"/>
      <c r="R30" s="65"/>
    </row>
    <row r="31" spans="1:18" ht="18">
      <c r="A31" s="25">
        <f>+A29+1</f>
        <v>5</v>
      </c>
      <c r="B31" s="3" t="s">
        <v>12</v>
      </c>
      <c r="C31" s="6">
        <f t="shared" si="6"/>
        <v>9</v>
      </c>
      <c r="D31" s="3" t="s">
        <v>145</v>
      </c>
      <c r="E31" s="12">
        <v>2342</v>
      </c>
      <c r="F31" s="40" t="s">
        <v>70</v>
      </c>
      <c r="G31" s="4">
        <v>0.409</v>
      </c>
      <c r="H31" s="40" t="s">
        <v>70</v>
      </c>
      <c r="I31" s="4">
        <f t="shared" si="5"/>
        <v>0.409</v>
      </c>
      <c r="J31" s="4">
        <v>0.409</v>
      </c>
      <c r="K31" s="153">
        <v>1</v>
      </c>
      <c r="L31" s="128"/>
      <c r="M31" s="22"/>
      <c r="N31" s="65"/>
      <c r="O31" s="65"/>
      <c r="P31" s="65"/>
      <c r="Q31" s="65"/>
      <c r="R31" s="65"/>
    </row>
    <row r="32" spans="1:18" ht="18">
      <c r="A32" s="25"/>
      <c r="B32" s="3"/>
      <c r="C32" s="6">
        <f t="shared" si="6"/>
        <v>10</v>
      </c>
      <c r="D32" s="3" t="s">
        <v>154</v>
      </c>
      <c r="E32" s="4">
        <v>1.06</v>
      </c>
      <c r="F32" s="40" t="s">
        <v>70</v>
      </c>
      <c r="G32" s="40">
        <v>0.27</v>
      </c>
      <c r="H32" s="40" t="s">
        <v>70</v>
      </c>
      <c r="I32" s="4">
        <f t="shared" si="5"/>
        <v>0.27</v>
      </c>
      <c r="J32" s="40">
        <v>0.248</v>
      </c>
      <c r="K32" s="153">
        <v>1</v>
      </c>
      <c r="L32" s="70"/>
      <c r="M32" s="22"/>
      <c r="N32" s="65"/>
      <c r="O32" s="65"/>
      <c r="P32" s="65"/>
      <c r="Q32" s="65"/>
      <c r="R32" s="65"/>
    </row>
    <row r="33" spans="1:18" ht="15">
      <c r="A33" s="25">
        <f>+A31+1</f>
        <v>6</v>
      </c>
      <c r="B33" s="3" t="s">
        <v>14</v>
      </c>
      <c r="C33" s="6">
        <f t="shared" si="6"/>
        <v>11</v>
      </c>
      <c r="D33" s="3" t="s">
        <v>94</v>
      </c>
      <c r="E33" s="12">
        <v>1342</v>
      </c>
      <c r="F33" s="40" t="s">
        <v>70</v>
      </c>
      <c r="G33" s="40" t="s">
        <v>70</v>
      </c>
      <c r="H33" s="40" t="s">
        <v>70</v>
      </c>
      <c r="I33" s="40" t="s">
        <v>70</v>
      </c>
      <c r="J33" s="40" t="s">
        <v>70</v>
      </c>
      <c r="K33" s="155" t="s">
        <v>182</v>
      </c>
      <c r="L33" s="70"/>
      <c r="M33" s="22"/>
      <c r="N33" s="65"/>
      <c r="O33" s="65"/>
      <c r="P33" s="65"/>
      <c r="Q33" s="65"/>
      <c r="R33" s="65"/>
    </row>
    <row r="34" spans="1:18" ht="18.75" thickBot="1">
      <c r="A34" s="29"/>
      <c r="B34" s="31"/>
      <c r="C34" s="6">
        <f t="shared" si="6"/>
        <v>12</v>
      </c>
      <c r="D34" s="31" t="s">
        <v>152</v>
      </c>
      <c r="E34" s="60" t="s">
        <v>153</v>
      </c>
      <c r="F34" s="61">
        <v>18.137</v>
      </c>
      <c r="G34" s="40" t="s">
        <v>70</v>
      </c>
      <c r="H34" s="40">
        <v>1.66</v>
      </c>
      <c r="I34" s="40">
        <f t="shared" si="5"/>
        <v>19.797</v>
      </c>
      <c r="J34" s="40">
        <v>1.746</v>
      </c>
      <c r="K34" s="153">
        <v>1</v>
      </c>
      <c r="L34" s="37"/>
      <c r="M34" s="22"/>
      <c r="N34" s="65"/>
      <c r="O34" s="65"/>
      <c r="P34" s="65"/>
      <c r="Q34" s="65"/>
      <c r="R34" s="65"/>
    </row>
    <row r="35" spans="1:18" ht="18.75" thickBot="1">
      <c r="A35" s="45"/>
      <c r="B35" s="528" t="s">
        <v>132</v>
      </c>
      <c r="C35" s="529"/>
      <c r="D35" s="530"/>
      <c r="E35" s="47">
        <f aca="true" t="shared" si="7" ref="E35:J35">SUM(E23:E34)</f>
        <v>45166.06</v>
      </c>
      <c r="F35" s="46">
        <f t="shared" si="7"/>
        <v>189.30700000000002</v>
      </c>
      <c r="G35" s="46">
        <f t="shared" si="7"/>
        <v>17.072</v>
      </c>
      <c r="H35" s="46">
        <f t="shared" si="7"/>
        <v>19.041</v>
      </c>
      <c r="I35" s="46">
        <f t="shared" si="7"/>
        <v>225.42</v>
      </c>
      <c r="J35" s="46">
        <f t="shared" si="7"/>
        <v>37.217</v>
      </c>
      <c r="K35" s="154">
        <v>1</v>
      </c>
      <c r="L35" s="128"/>
      <c r="M35" s="22"/>
      <c r="N35" s="65"/>
      <c r="O35" s="65"/>
      <c r="P35" s="65"/>
      <c r="Q35" s="65"/>
      <c r="R35" s="65"/>
    </row>
    <row r="36" spans="1:18" ht="19.5" thickBot="1" thickTop="1">
      <c r="A36" s="21" t="s">
        <v>77</v>
      </c>
      <c r="B36" s="533" t="s">
        <v>78</v>
      </c>
      <c r="C36" s="534"/>
      <c r="D36" s="534"/>
      <c r="E36" s="17"/>
      <c r="F36" s="57"/>
      <c r="G36" s="15"/>
      <c r="H36" s="15"/>
      <c r="I36" s="15"/>
      <c r="J36" s="15"/>
      <c r="K36" s="52"/>
      <c r="L36" s="128"/>
      <c r="M36" s="22"/>
      <c r="N36" s="65"/>
      <c r="O36" s="65"/>
      <c r="P36" s="65"/>
      <c r="Q36" s="65"/>
      <c r="R36" s="65"/>
    </row>
    <row r="37" spans="1:18" ht="18.75" thickTop="1">
      <c r="A37" s="28">
        <v>1</v>
      </c>
      <c r="B37" s="2" t="s">
        <v>13</v>
      </c>
      <c r="C37" s="39">
        <v>1</v>
      </c>
      <c r="D37" s="9" t="s">
        <v>175</v>
      </c>
      <c r="E37" s="18">
        <v>1379</v>
      </c>
      <c r="F37" s="81">
        <v>1.027</v>
      </c>
      <c r="G37" s="81" t="s">
        <v>70</v>
      </c>
      <c r="H37" s="81" t="s">
        <v>70</v>
      </c>
      <c r="I37" s="81">
        <f>+H37+G37+F37</f>
        <v>1.027</v>
      </c>
      <c r="J37" s="81">
        <v>1.13</v>
      </c>
      <c r="K37" s="139">
        <f>+I37/J37</f>
        <v>0.9088495575221239</v>
      </c>
      <c r="L37" s="43"/>
      <c r="M37" s="67">
        <f>SUM(K37:K48)/12</f>
        <v>0.7451894835879912</v>
      </c>
      <c r="N37" s="65"/>
      <c r="O37" s="65"/>
      <c r="P37" s="65"/>
      <c r="Q37" s="65"/>
      <c r="R37" s="65"/>
    </row>
    <row r="38" spans="1:18" ht="18">
      <c r="A38" s="28"/>
      <c r="B38" s="2"/>
      <c r="C38" s="39">
        <f>+C37+1</f>
        <v>2</v>
      </c>
      <c r="D38" s="9" t="s">
        <v>148</v>
      </c>
      <c r="E38" s="18">
        <v>989</v>
      </c>
      <c r="F38" s="40">
        <v>2.87</v>
      </c>
      <c r="G38" s="40">
        <v>0.648</v>
      </c>
      <c r="H38" s="62" t="s">
        <v>70</v>
      </c>
      <c r="I38" s="4">
        <f>SUM(F38:H38)</f>
        <v>3.5180000000000002</v>
      </c>
      <c r="J38" s="40">
        <v>0.586</v>
      </c>
      <c r="K38" s="157">
        <v>1</v>
      </c>
      <c r="L38" s="71"/>
      <c r="M38" s="22"/>
      <c r="N38" s="65"/>
      <c r="O38" s="65"/>
      <c r="P38" s="65"/>
      <c r="Q38" s="65"/>
      <c r="R38" s="65"/>
    </row>
    <row r="39" spans="1:18" ht="18">
      <c r="A39" s="23">
        <f>+A37+1</f>
        <v>2</v>
      </c>
      <c r="B39" s="5" t="s">
        <v>14</v>
      </c>
      <c r="C39" s="39">
        <f aca="true" t="shared" si="8" ref="C39:C48">+C38+1</f>
        <v>3</v>
      </c>
      <c r="D39" s="3" t="s">
        <v>15</v>
      </c>
      <c r="E39" s="12">
        <v>5137</v>
      </c>
      <c r="F39" s="40">
        <v>1.305</v>
      </c>
      <c r="G39" s="40" t="s">
        <v>70</v>
      </c>
      <c r="H39" s="40" t="s">
        <v>70</v>
      </c>
      <c r="I39" s="40">
        <f>+H39+G39+F39</f>
        <v>1.305</v>
      </c>
      <c r="J39" s="40">
        <v>5.137</v>
      </c>
      <c r="K39" s="157">
        <f>+I39/J39</f>
        <v>0.2540393225618065</v>
      </c>
      <c r="L39" s="129"/>
      <c r="M39" s="102" t="s">
        <v>171</v>
      </c>
      <c r="N39" s="65"/>
      <c r="O39" s="65"/>
      <c r="P39" s="65"/>
      <c r="Q39" s="65"/>
      <c r="R39" s="65"/>
    </row>
    <row r="40" spans="1:18" ht="15">
      <c r="A40" s="23">
        <f>+A39+1</f>
        <v>3</v>
      </c>
      <c r="B40" s="5" t="s">
        <v>18</v>
      </c>
      <c r="C40" s="39">
        <f t="shared" si="8"/>
        <v>4</v>
      </c>
      <c r="D40" s="3" t="s">
        <v>19</v>
      </c>
      <c r="E40" s="12">
        <v>585</v>
      </c>
      <c r="F40" s="40" t="s">
        <v>70</v>
      </c>
      <c r="G40" s="40" t="s">
        <v>70</v>
      </c>
      <c r="H40" s="40" t="s">
        <v>70</v>
      </c>
      <c r="I40" s="40" t="s">
        <v>70</v>
      </c>
      <c r="J40" s="40" t="s">
        <v>70</v>
      </c>
      <c r="K40" s="155" t="s">
        <v>182</v>
      </c>
      <c r="L40" s="129"/>
      <c r="M40" s="22"/>
      <c r="N40" s="65"/>
      <c r="O40" s="65"/>
      <c r="P40" s="65"/>
      <c r="Q40" s="65"/>
      <c r="R40" s="65"/>
    </row>
    <row r="41" spans="1:18" ht="18">
      <c r="A41" s="23">
        <f>+A40+1</f>
        <v>4</v>
      </c>
      <c r="B41" s="5" t="s">
        <v>20</v>
      </c>
      <c r="C41" s="39">
        <f t="shared" si="8"/>
        <v>5</v>
      </c>
      <c r="D41" s="3" t="s">
        <v>21</v>
      </c>
      <c r="E41" s="12">
        <v>665</v>
      </c>
      <c r="F41" s="40">
        <v>0.35</v>
      </c>
      <c r="G41" s="40">
        <v>0.18</v>
      </c>
      <c r="H41" s="40">
        <v>0.133</v>
      </c>
      <c r="I41" s="40">
        <f>+H41+G41+F41</f>
        <v>0.663</v>
      </c>
      <c r="J41" s="40">
        <v>0.84</v>
      </c>
      <c r="K41" s="139">
        <f>+I41/J41</f>
        <v>0.7892857142857144</v>
      </c>
      <c r="L41" s="129"/>
      <c r="M41" s="22"/>
      <c r="N41" s="65"/>
      <c r="O41" s="65"/>
      <c r="P41" s="65"/>
      <c r="Q41" s="65"/>
      <c r="R41" s="65"/>
    </row>
    <row r="42" spans="1:18" ht="18">
      <c r="A42" s="23"/>
      <c r="B42" s="5"/>
      <c r="C42" s="39">
        <f t="shared" si="8"/>
        <v>6</v>
      </c>
      <c r="D42" s="3" t="s">
        <v>149</v>
      </c>
      <c r="E42" s="12">
        <v>1590</v>
      </c>
      <c r="F42" s="40">
        <v>0.095</v>
      </c>
      <c r="G42" s="40">
        <v>1.402</v>
      </c>
      <c r="H42" s="40" t="s">
        <v>70</v>
      </c>
      <c r="I42" s="40">
        <f>+H42+G42+F42</f>
        <v>1.4969999999999999</v>
      </c>
      <c r="J42" s="40">
        <v>1.987</v>
      </c>
      <c r="K42" s="157">
        <f>+I42/J42</f>
        <v>0.7533970810266732</v>
      </c>
      <c r="L42" s="129"/>
      <c r="M42" s="22"/>
      <c r="N42" s="65"/>
      <c r="O42" s="65"/>
      <c r="P42" s="65"/>
      <c r="Q42" s="65"/>
      <c r="R42" s="65"/>
    </row>
    <row r="43" spans="1:18" ht="18">
      <c r="A43" s="23">
        <f>+A41+1</f>
        <v>5</v>
      </c>
      <c r="B43" s="5" t="s">
        <v>22</v>
      </c>
      <c r="C43" s="39">
        <f t="shared" si="8"/>
        <v>7</v>
      </c>
      <c r="D43" s="3" t="s">
        <v>23</v>
      </c>
      <c r="E43" s="12">
        <v>779</v>
      </c>
      <c r="F43" s="40">
        <v>1.075</v>
      </c>
      <c r="G43" s="40">
        <v>0.61</v>
      </c>
      <c r="H43" s="40" t="s">
        <v>70</v>
      </c>
      <c r="I43" s="40">
        <f>+H43+G43+F43</f>
        <v>1.685</v>
      </c>
      <c r="J43" s="40">
        <v>0.974</v>
      </c>
      <c r="K43" s="156">
        <v>1</v>
      </c>
      <c r="L43" s="129"/>
      <c r="M43" s="22"/>
      <c r="N43" s="65"/>
      <c r="O43" s="65"/>
      <c r="P43" s="65"/>
      <c r="Q43" s="65"/>
      <c r="R43" s="65"/>
    </row>
    <row r="44" spans="1:18" ht="18">
      <c r="A44" s="23"/>
      <c r="B44" s="5"/>
      <c r="C44" s="39">
        <f t="shared" si="8"/>
        <v>8</v>
      </c>
      <c r="D44" s="3" t="s">
        <v>150</v>
      </c>
      <c r="E44" s="12">
        <v>1375</v>
      </c>
      <c r="F44" s="40">
        <v>1.212</v>
      </c>
      <c r="G44" s="40">
        <v>0.196</v>
      </c>
      <c r="H44" s="40">
        <v>0.052</v>
      </c>
      <c r="I44" s="40">
        <f>+H44+G44+F44</f>
        <v>1.46</v>
      </c>
      <c r="J44" s="40">
        <v>0.667</v>
      </c>
      <c r="K44" s="139">
        <v>1</v>
      </c>
      <c r="L44" s="130"/>
      <c r="M44" s="22"/>
      <c r="N44" s="65"/>
      <c r="O44" s="65"/>
      <c r="P44" s="65"/>
      <c r="Q44" s="65"/>
      <c r="R44" s="65"/>
    </row>
    <row r="45" spans="1:18" ht="18">
      <c r="A45" s="23">
        <f>+A43+1</f>
        <v>6</v>
      </c>
      <c r="B45" s="5" t="s">
        <v>24</v>
      </c>
      <c r="C45" s="39">
        <f t="shared" si="8"/>
        <v>9</v>
      </c>
      <c r="D45" s="3" t="s">
        <v>25</v>
      </c>
      <c r="E45" s="12">
        <v>2865</v>
      </c>
      <c r="F45" s="62">
        <v>2.925</v>
      </c>
      <c r="G45" s="40" t="s">
        <v>70</v>
      </c>
      <c r="H45" s="40">
        <f>+J45</f>
        <v>2.325</v>
      </c>
      <c r="I45" s="4">
        <f>SUM(F45:H45)</f>
        <v>5.25</v>
      </c>
      <c r="J45" s="4">
        <v>2.325</v>
      </c>
      <c r="K45" s="139">
        <v>1</v>
      </c>
      <c r="L45" s="131"/>
      <c r="M45" s="22"/>
      <c r="N45" s="65"/>
      <c r="O45" s="65"/>
      <c r="P45" s="65"/>
      <c r="Q45" s="65"/>
      <c r="R45" s="65"/>
    </row>
    <row r="46" spans="1:18" ht="18">
      <c r="A46" s="23"/>
      <c r="B46" s="7"/>
      <c r="C46" s="39">
        <f t="shared" si="8"/>
        <v>10</v>
      </c>
      <c r="D46" s="8" t="s">
        <v>151</v>
      </c>
      <c r="E46" s="12">
        <v>683</v>
      </c>
      <c r="F46" s="62">
        <v>1.435</v>
      </c>
      <c r="G46" s="62">
        <v>0.421</v>
      </c>
      <c r="H46" s="62" t="s">
        <v>70</v>
      </c>
      <c r="I46" s="62">
        <f>+H46+G46+F46</f>
        <v>1.856</v>
      </c>
      <c r="J46" s="62">
        <v>0.36</v>
      </c>
      <c r="K46" s="139">
        <v>1</v>
      </c>
      <c r="L46" s="43"/>
      <c r="M46" s="22"/>
      <c r="N46" s="65"/>
      <c r="O46" s="65"/>
      <c r="P46" s="65"/>
      <c r="Q46" s="65"/>
      <c r="R46" s="65"/>
    </row>
    <row r="47" spans="1:18" ht="18">
      <c r="A47" s="23">
        <v>7</v>
      </c>
      <c r="B47" s="7" t="s">
        <v>26</v>
      </c>
      <c r="C47" s="39">
        <f t="shared" si="8"/>
        <v>11</v>
      </c>
      <c r="D47" s="8" t="s">
        <v>27</v>
      </c>
      <c r="E47" s="13">
        <v>3760</v>
      </c>
      <c r="F47" s="40" t="s">
        <v>70</v>
      </c>
      <c r="G47" s="40">
        <v>0.445</v>
      </c>
      <c r="H47" s="40">
        <v>0.445</v>
      </c>
      <c r="I47" s="40">
        <f>+H47+G47+F47</f>
        <v>0.89</v>
      </c>
      <c r="J47" s="40">
        <v>3.76</v>
      </c>
      <c r="K47" s="158">
        <f>+I47/J47</f>
        <v>0.2367021276595745</v>
      </c>
      <c r="L47" s="129"/>
      <c r="M47" s="138"/>
      <c r="N47" s="65"/>
      <c r="O47" s="65"/>
      <c r="P47" s="65"/>
      <c r="Q47" s="65"/>
      <c r="R47" s="65"/>
    </row>
    <row r="48" spans="1:18" ht="18.75" thickBot="1">
      <c r="A48" s="29"/>
      <c r="B48" s="30"/>
      <c r="C48" s="39">
        <f t="shared" si="8"/>
        <v>12</v>
      </c>
      <c r="D48" s="31" t="s">
        <v>143</v>
      </c>
      <c r="E48" s="48">
        <v>1759</v>
      </c>
      <c r="F48" s="40">
        <v>0.45</v>
      </c>
      <c r="G48" s="40">
        <v>1.202</v>
      </c>
      <c r="H48" s="40">
        <v>0.214</v>
      </c>
      <c r="I48" s="40">
        <f>+F48+G48+H48</f>
        <v>1.8659999999999999</v>
      </c>
      <c r="J48" s="40">
        <v>1.759</v>
      </c>
      <c r="K48" s="139">
        <v>1</v>
      </c>
      <c r="L48" s="129"/>
      <c r="M48" s="22"/>
      <c r="N48" s="65"/>
      <c r="O48" s="65"/>
      <c r="P48" s="65"/>
      <c r="Q48" s="65"/>
      <c r="R48" s="65"/>
    </row>
    <row r="49" spans="1:18" ht="18.75" thickBot="1">
      <c r="A49" s="51"/>
      <c r="B49" s="528" t="s">
        <v>133</v>
      </c>
      <c r="C49" s="529"/>
      <c r="D49" s="530"/>
      <c r="E49" s="47">
        <f>SUM(E37:E48)</f>
        <v>21566</v>
      </c>
      <c r="F49" s="64">
        <f>SUM(F37:F48)</f>
        <v>12.743999999999998</v>
      </c>
      <c r="G49" s="46">
        <f>SUM(G37:G48)</f>
        <v>5.103999999999999</v>
      </c>
      <c r="H49" s="46">
        <f>SUM(H37:H48)</f>
        <v>3.169</v>
      </c>
      <c r="I49" s="46">
        <f>SUM(I37:I48)/12</f>
        <v>1.7514166666666668</v>
      </c>
      <c r="J49" s="46">
        <f>SUM(J37:J48)/12</f>
        <v>1.6270833333333332</v>
      </c>
      <c r="K49" s="141">
        <v>1</v>
      </c>
      <c r="L49" s="132"/>
      <c r="M49" s="22"/>
      <c r="N49" s="65"/>
      <c r="O49" s="65"/>
      <c r="P49" s="65"/>
      <c r="Q49" s="65"/>
      <c r="R49" s="65"/>
    </row>
    <row r="50" spans="5:12" ht="13.5" thickBot="1">
      <c r="E50" s="58"/>
      <c r="F50" s="58"/>
      <c r="G50" s="58"/>
      <c r="H50" s="58"/>
      <c r="I50" s="58"/>
      <c r="J50" s="58"/>
      <c r="K50" s="63"/>
      <c r="L50" s="63"/>
    </row>
    <row r="51" spans="2:12" ht="16.5" thickBot="1">
      <c r="B51" s="80"/>
      <c r="C51" s="79"/>
      <c r="D51" s="133" t="s">
        <v>177</v>
      </c>
      <c r="E51" s="137"/>
      <c r="F51" s="136" t="s">
        <v>181</v>
      </c>
      <c r="G51" s="134"/>
      <c r="H51" s="134"/>
      <c r="I51" s="134"/>
      <c r="J51" s="58"/>
      <c r="K51" s="58"/>
      <c r="L51" s="58"/>
    </row>
    <row r="52" spans="5:9" ht="16.5" thickBot="1">
      <c r="E52" s="77"/>
      <c r="F52" s="77"/>
      <c r="G52" s="135"/>
      <c r="H52" s="135"/>
      <c r="I52" s="135"/>
    </row>
    <row r="53" spans="5:9" ht="16.5" thickBot="1">
      <c r="E53" s="144"/>
      <c r="F53" s="136" t="s">
        <v>178</v>
      </c>
      <c r="G53" s="135"/>
      <c r="H53" s="135"/>
      <c r="I53" s="135"/>
    </row>
    <row r="54" spans="5:9" ht="16.5" thickBot="1">
      <c r="E54" s="77"/>
      <c r="F54" s="77"/>
      <c r="G54" s="135"/>
      <c r="H54" s="135"/>
      <c r="I54" s="135"/>
    </row>
    <row r="55" spans="5:9" ht="16.5" thickBot="1">
      <c r="E55" s="143"/>
      <c r="F55" s="136" t="s">
        <v>180</v>
      </c>
      <c r="G55" s="135"/>
      <c r="H55" s="135"/>
      <c r="I55" s="135"/>
    </row>
    <row r="56" spans="5:9" ht="16.5" thickBot="1">
      <c r="E56" s="77"/>
      <c r="F56" s="77"/>
      <c r="G56" s="135"/>
      <c r="H56" s="135"/>
      <c r="I56" s="135"/>
    </row>
    <row r="57" spans="5:9" ht="18.75" thickBot="1">
      <c r="E57" s="142"/>
      <c r="F57" s="136" t="s">
        <v>179</v>
      </c>
      <c r="G57" s="135"/>
      <c r="H57" s="135"/>
      <c r="I57" s="135"/>
    </row>
  </sheetData>
  <sheetProtection/>
  <mergeCells count="15">
    <mergeCell ref="F22:J22"/>
    <mergeCell ref="B35:D35"/>
    <mergeCell ref="B9:D9"/>
    <mergeCell ref="B36:D36"/>
    <mergeCell ref="B49:D49"/>
    <mergeCell ref="B21:D21"/>
    <mergeCell ref="B22:D22"/>
    <mergeCell ref="A1:K1"/>
    <mergeCell ref="A2:K2"/>
    <mergeCell ref="A3:K3"/>
    <mergeCell ref="A5:A7"/>
    <mergeCell ref="B5:C7"/>
    <mergeCell ref="D5:D7"/>
    <mergeCell ref="G5:H5"/>
    <mergeCell ref="K6:K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Compaq</cp:lastModifiedBy>
  <cp:lastPrinted>2002-01-01T13:14:51Z</cp:lastPrinted>
  <dcterms:created xsi:type="dcterms:W3CDTF">2001-01-08T14:44:55Z</dcterms:created>
  <dcterms:modified xsi:type="dcterms:W3CDTF">2018-04-06T03:47:00Z</dcterms:modified>
  <cp:category/>
  <cp:version/>
  <cp:contentType/>
  <cp:contentStatus/>
</cp:coreProperties>
</file>