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265" windowHeight="5190" tabRatio="737" firstSheet="4" activeTab="12"/>
  </bookViews>
  <sheets>
    <sheet name="GRA JATENG" sheetId="19" r:id="rId1"/>
    <sheet name="GRARWNING" sheetId="1" r:id="rId2"/>
    <sheet name="GDIRMAN" sheetId="2" r:id="rId3"/>
    <sheet name="AREAL" sheetId="3" r:id="rId4"/>
    <sheet name="GRACABAN" sheetId="4" r:id="rId5"/>
    <sheet name="GRAHAYU" sheetId="5" r:id="rId6"/>
    <sheet name="GRASPOR" sheetId="6" r:id="rId7"/>
    <sheet name="GR GJMUNGKUR" sheetId="18" r:id="rId8"/>
    <sheet name="GRAWDLTG" sheetId="7" r:id="rId9"/>
    <sheet name="GRAOMBO" sheetId="8" r:id="rId10"/>
    <sheet name="UTAMA" sheetId="11" r:id="rId11"/>
    <sheet name="RINCI 1" sheetId="12" r:id="rId12"/>
    <sheet name="RINCI 2" sheetId="13" r:id="rId13"/>
    <sheet name="KDOMBO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3">AREAL!$A$3:$I$51</definedName>
    <definedName name="_xlnm.Print_Area" localSheetId="2">GDIRMAN!$B$3:$G$51</definedName>
    <definedName name="_xlnm.Print_Area" localSheetId="7">'GR GJMUNGKUR'!$B$1:$G$51</definedName>
    <definedName name="_xlnm.Print_Area" localSheetId="0">'GRA JATENG'!$B$2:$G$53</definedName>
    <definedName name="_xlnm.Print_Area" localSheetId="4">GRACABAN!$A$1:$G$52</definedName>
    <definedName name="_xlnm.Print_Area" localSheetId="5">GRAHAYU!$A$1:$G$50</definedName>
    <definedName name="_xlnm.Print_Area" localSheetId="9">GRAOMBO!$B$1:$G$54</definedName>
    <definedName name="_xlnm.Print_Area" localSheetId="6">GRASPOR!$B$2:$H$53</definedName>
    <definedName name="_xlnm.Print_Area" localSheetId="8">GRAWDLTG!$B$1:$G$51</definedName>
    <definedName name="_xlnm.Print_Area" localSheetId="11">'RINCI 1'!$A$2:$H$61</definedName>
    <definedName name="_xlnm.Print_Area" localSheetId="12">'RINCI 2'!$A$1:$H$49</definedName>
    <definedName name="_xlnm.Print_Area" localSheetId="10">UTAMA!$L$1:$X$59</definedName>
  </definedNames>
  <calcPr calcId="124519"/>
</workbook>
</file>

<file path=xl/calcChain.xml><?xml version="1.0" encoding="utf-8"?>
<calcChain xmlns="http://schemas.openxmlformats.org/spreadsheetml/2006/main">
  <c r="H336" i="11"/>
  <c r="H335"/>
  <c r="H334"/>
  <c r="H285"/>
  <c r="H284"/>
  <c r="H283"/>
  <c r="H234"/>
  <c r="H233"/>
  <c r="H232"/>
  <c r="H182"/>
  <c r="H181"/>
  <c r="H180"/>
  <c r="H130"/>
  <c r="H129"/>
  <c r="H128"/>
  <c r="H79"/>
  <c r="H78"/>
  <c r="H77"/>
  <c r="H25"/>
  <c r="H24"/>
  <c r="H23"/>
  <c r="F25"/>
  <c r="F24"/>
  <c r="F23"/>
  <c r="G9" i="14"/>
  <c r="A10"/>
  <c r="G10"/>
  <c r="A11"/>
  <c r="G11"/>
  <c r="A12"/>
  <c r="G12"/>
  <c r="A13"/>
  <c r="G13"/>
  <c r="A14"/>
  <c r="G14"/>
  <c r="A15"/>
  <c r="G15"/>
  <c r="A16"/>
  <c r="G16"/>
  <c r="A17"/>
  <c r="A18"/>
  <c r="A19"/>
  <c r="A20"/>
  <c r="A4" i="13"/>
  <c r="D9"/>
  <c r="E9"/>
  <c r="F9"/>
  <c r="G9"/>
  <c r="H9" s="1"/>
  <c r="A10"/>
  <c r="D10"/>
  <c r="E10"/>
  <c r="F10"/>
  <c r="G10"/>
  <c r="A11"/>
  <c r="D11"/>
  <c r="E11"/>
  <c r="F11"/>
  <c r="G11"/>
  <c r="A12"/>
  <c r="D12"/>
  <c r="E12"/>
  <c r="F12"/>
  <c r="G12"/>
  <c r="A13"/>
  <c r="D13"/>
  <c r="E13"/>
  <c r="F13"/>
  <c r="G13"/>
  <c r="A14"/>
  <c r="D14"/>
  <c r="E14"/>
  <c r="F14"/>
  <c r="G14"/>
  <c r="H14" s="1"/>
  <c r="A15"/>
  <c r="D15"/>
  <c r="E15"/>
  <c r="F15"/>
  <c r="G15"/>
  <c r="A16"/>
  <c r="D16"/>
  <c r="E16"/>
  <c r="F16"/>
  <c r="G16"/>
  <c r="A17"/>
  <c r="D17"/>
  <c r="E17"/>
  <c r="F17"/>
  <c r="G17"/>
  <c r="A18"/>
  <c r="D18"/>
  <c r="E18"/>
  <c r="F18"/>
  <c r="G18"/>
  <c r="A19"/>
  <c r="D19"/>
  <c r="E19"/>
  <c r="F19"/>
  <c r="G19"/>
  <c r="H19" s="1"/>
  <c r="A20"/>
  <c r="D20"/>
  <c r="E20"/>
  <c r="F20"/>
  <c r="G20"/>
  <c r="H20" s="1"/>
  <c r="A21"/>
  <c r="D21"/>
  <c r="E21"/>
  <c r="F21"/>
  <c r="G21"/>
  <c r="H21" s="1"/>
  <c r="A22"/>
  <c r="D22"/>
  <c r="E22"/>
  <c r="F22"/>
  <c r="G22"/>
  <c r="A23"/>
  <c r="D23"/>
  <c r="E23"/>
  <c r="F23"/>
  <c r="G23"/>
  <c r="H23" s="1"/>
  <c r="A24"/>
  <c r="D24"/>
  <c r="E24"/>
  <c r="F24"/>
  <c r="G24"/>
  <c r="H24" s="1"/>
  <c r="A25"/>
  <c r="D25"/>
  <c r="E25"/>
  <c r="F25"/>
  <c r="G25"/>
  <c r="H25" s="1"/>
  <c r="A26"/>
  <c r="D26"/>
  <c r="E26"/>
  <c r="F26"/>
  <c r="G26"/>
  <c r="H26" s="1"/>
  <c r="A27"/>
  <c r="D27"/>
  <c r="E27"/>
  <c r="F27"/>
  <c r="G27"/>
  <c r="H27" s="1"/>
  <c r="A28"/>
  <c r="D28"/>
  <c r="E28"/>
  <c r="F28"/>
  <c r="G28"/>
  <c r="H28" s="1"/>
  <c r="A29"/>
  <c r="D29"/>
  <c r="E29"/>
  <c r="F29"/>
  <c r="G29"/>
  <c r="H29"/>
  <c r="A30"/>
  <c r="D30"/>
  <c r="E30"/>
  <c r="F30"/>
  <c r="G30"/>
  <c r="H30" s="1"/>
  <c r="A31"/>
  <c r="D31"/>
  <c r="E31"/>
  <c r="F31"/>
  <c r="G31"/>
  <c r="H31" s="1"/>
  <c r="A32"/>
  <c r="D32"/>
  <c r="E32"/>
  <c r="F32"/>
  <c r="G32"/>
  <c r="H32" s="1"/>
  <c r="A33"/>
  <c r="D33"/>
  <c r="E33"/>
  <c r="F33"/>
  <c r="G33"/>
  <c r="H33" s="1"/>
  <c r="A34"/>
  <c r="D34"/>
  <c r="E34"/>
  <c r="F34"/>
  <c r="G34"/>
  <c r="A35"/>
  <c r="D35"/>
  <c r="E35"/>
  <c r="F35"/>
  <c r="G35"/>
  <c r="H35" s="1"/>
  <c r="A36"/>
  <c r="D36"/>
  <c r="E36"/>
  <c r="F36"/>
  <c r="G36"/>
  <c r="H36" s="1"/>
  <c r="A37"/>
  <c r="D37"/>
  <c r="E37"/>
  <c r="F37"/>
  <c r="G37"/>
  <c r="H37" s="1"/>
  <c r="A38"/>
  <c r="D38"/>
  <c r="E38"/>
  <c r="F38"/>
  <c r="G38"/>
  <c r="H38" s="1"/>
  <c r="C39"/>
  <c r="F39"/>
  <c r="I42"/>
  <c r="J42"/>
  <c r="H45" s="1"/>
  <c r="K42"/>
  <c r="H44" s="1"/>
  <c r="L42"/>
  <c r="H43" s="1"/>
  <c r="M42"/>
  <c r="H46"/>
  <c r="A4" i="12"/>
  <c r="D9"/>
  <c r="E9"/>
  <c r="F9"/>
  <c r="G9"/>
  <c r="H9" s="1"/>
  <c r="A10"/>
  <c r="D10"/>
  <c r="E10"/>
  <c r="F10"/>
  <c r="G10"/>
  <c r="H10" s="1"/>
  <c r="A11"/>
  <c r="D11"/>
  <c r="E11"/>
  <c r="F11"/>
  <c r="G11"/>
  <c r="A12"/>
  <c r="D12"/>
  <c r="E12"/>
  <c r="F12"/>
  <c r="G12"/>
  <c r="A13"/>
  <c r="D13"/>
  <c r="E13"/>
  <c r="F13"/>
  <c r="G13"/>
  <c r="A14"/>
  <c r="D14"/>
  <c r="E14"/>
  <c r="F14"/>
  <c r="G14"/>
  <c r="A15"/>
  <c r="D15"/>
  <c r="E15"/>
  <c r="F15"/>
  <c r="G15"/>
  <c r="A16"/>
  <c r="D16"/>
  <c r="E16"/>
  <c r="F16"/>
  <c r="G16"/>
  <c r="C17"/>
  <c r="F17"/>
  <c r="K17"/>
  <c r="L17"/>
  <c r="M17"/>
  <c r="N17"/>
  <c r="H21"/>
  <c r="H22"/>
  <c r="H23"/>
  <c r="H24"/>
  <c r="A13" i="11"/>
  <c r="A14"/>
  <c r="A15"/>
  <c r="A16"/>
  <c r="A17"/>
  <c r="A18"/>
  <c r="A19"/>
  <c r="A20"/>
  <c r="A21"/>
  <c r="A23"/>
  <c r="D23"/>
  <c r="A24"/>
  <c r="D24"/>
  <c r="A25"/>
  <c r="D25"/>
  <c r="A26"/>
  <c r="A27"/>
  <c r="A28"/>
  <c r="A29"/>
  <c r="A30"/>
  <c r="A31"/>
  <c r="A32"/>
  <c r="A33"/>
  <c r="A34"/>
  <c r="A35"/>
  <c r="A36"/>
  <c r="A37"/>
  <c r="A38"/>
  <c r="A39"/>
  <c r="M39"/>
  <c r="N39"/>
  <c r="O39"/>
  <c r="P39"/>
  <c r="Q39"/>
  <c r="R39"/>
  <c r="S39"/>
  <c r="T39"/>
  <c r="U39"/>
  <c r="V39"/>
  <c r="W39"/>
  <c r="A40"/>
  <c r="M40"/>
  <c r="N40"/>
  <c r="O40"/>
  <c r="P40"/>
  <c r="Q40"/>
  <c r="R40"/>
  <c r="S40"/>
  <c r="T40"/>
  <c r="U40"/>
  <c r="V40"/>
  <c r="W40"/>
  <c r="A41"/>
  <c r="M41"/>
  <c r="N41"/>
  <c r="O41"/>
  <c r="P41"/>
  <c r="Q41"/>
  <c r="R41"/>
  <c r="S41"/>
  <c r="T41"/>
  <c r="U41"/>
  <c r="V41"/>
  <c r="W41"/>
  <c r="A42"/>
  <c r="M42"/>
  <c r="N42"/>
  <c r="O42"/>
  <c r="P42"/>
  <c r="Q42"/>
  <c r="R42"/>
  <c r="S42"/>
  <c r="T42"/>
  <c r="U42"/>
  <c r="V42"/>
  <c r="W42"/>
  <c r="X42"/>
  <c r="A43"/>
  <c r="M43"/>
  <c r="N43"/>
  <c r="O43"/>
  <c r="P43"/>
  <c r="Q43"/>
  <c r="R43"/>
  <c r="S43"/>
  <c r="T43"/>
  <c r="U43"/>
  <c r="V43"/>
  <c r="W43"/>
  <c r="X43"/>
  <c r="A44"/>
  <c r="M44"/>
  <c r="N44"/>
  <c r="O44"/>
  <c r="P44"/>
  <c r="Q44"/>
  <c r="R44"/>
  <c r="S44"/>
  <c r="T44"/>
  <c r="U44"/>
  <c r="V44"/>
  <c r="W44"/>
  <c r="A45"/>
  <c r="M45"/>
  <c r="N45"/>
  <c r="O45"/>
  <c r="P45"/>
  <c r="Q45"/>
  <c r="R45"/>
  <c r="S45"/>
  <c r="T45"/>
  <c r="U45"/>
  <c r="V45"/>
  <c r="W45"/>
  <c r="A46"/>
  <c r="P46"/>
  <c r="A47"/>
  <c r="A48"/>
  <c r="Z49"/>
  <c r="E50"/>
  <c r="G50"/>
  <c r="G55" s="1"/>
  <c r="I50"/>
  <c r="AB51"/>
  <c r="AC51"/>
  <c r="AD51"/>
  <c r="AE51"/>
  <c r="AF51"/>
  <c r="AG51"/>
  <c r="AH51"/>
  <c r="AI51"/>
  <c r="AJ51"/>
  <c r="AK51"/>
  <c r="AL51"/>
  <c r="AM51"/>
  <c r="G52"/>
  <c r="Z52"/>
  <c r="AB52"/>
  <c r="AC52"/>
  <c r="AD52"/>
  <c r="AE52"/>
  <c r="AF52"/>
  <c r="AG52"/>
  <c r="AH52"/>
  <c r="AI52"/>
  <c r="AJ52"/>
  <c r="AK52"/>
  <c r="AL52"/>
  <c r="AM52"/>
  <c r="AB54"/>
  <c r="AC54"/>
  <c r="AD54"/>
  <c r="AE54"/>
  <c r="AF54"/>
  <c r="AG54"/>
  <c r="AH54"/>
  <c r="AI54"/>
  <c r="AJ54"/>
  <c r="AK54"/>
  <c r="AL54"/>
  <c r="AM54"/>
  <c r="AM55" s="1"/>
  <c r="X45" s="1"/>
  <c r="F55"/>
  <c r="E54" s="1"/>
  <c r="AB55"/>
  <c r="AC55"/>
  <c r="AD55"/>
  <c r="AE55"/>
  <c r="AF55"/>
  <c r="AG55"/>
  <c r="AH55"/>
  <c r="AI55"/>
  <c r="AJ55"/>
  <c r="AK55"/>
  <c r="AL55"/>
  <c r="AH63"/>
  <c r="AA66"/>
  <c r="AB66"/>
  <c r="AC66"/>
  <c r="A67"/>
  <c r="W67"/>
  <c r="AA67"/>
  <c r="AB67"/>
  <c r="AC67"/>
  <c r="A68"/>
  <c r="AA68"/>
  <c r="AB68"/>
  <c r="AC68"/>
  <c r="A69"/>
  <c r="AA69"/>
  <c r="AB69"/>
  <c r="AC69"/>
  <c r="A70"/>
  <c r="AA70"/>
  <c r="AB70"/>
  <c r="AC70"/>
  <c r="A71"/>
  <c r="AA71"/>
  <c r="AB71"/>
  <c r="AC71"/>
  <c r="A72"/>
  <c r="AA72"/>
  <c r="AB72"/>
  <c r="AC72"/>
  <c r="A73"/>
  <c r="AA73"/>
  <c r="AB73"/>
  <c r="AC73"/>
  <c r="A74"/>
  <c r="AA74"/>
  <c r="AB74"/>
  <c r="AC74"/>
  <c r="A75"/>
  <c r="AA75"/>
  <c r="AB75"/>
  <c r="AC75"/>
  <c r="A76"/>
  <c r="AA76"/>
  <c r="AB76"/>
  <c r="AC76"/>
  <c r="A77"/>
  <c r="D77"/>
  <c r="F77"/>
  <c r="AA77"/>
  <c r="AB77"/>
  <c r="AC77"/>
  <c r="A78"/>
  <c r="D78"/>
  <c r="F78"/>
  <c r="AA78"/>
  <c r="AB78"/>
  <c r="AC78"/>
  <c r="A79"/>
  <c r="D79"/>
  <c r="F79"/>
  <c r="AA79"/>
  <c r="AB79"/>
  <c r="AC79"/>
  <c r="A80"/>
  <c r="AA80"/>
  <c r="AB80"/>
  <c r="AC80"/>
  <c r="A81"/>
  <c r="AA81"/>
  <c r="AB81"/>
  <c r="AC81"/>
  <c r="A82"/>
  <c r="AA82"/>
  <c r="AB82"/>
  <c r="AC82"/>
  <c r="A83"/>
  <c r="AA83"/>
  <c r="AB83"/>
  <c r="AC83"/>
  <c r="A84"/>
  <c r="AA84"/>
  <c r="AB84"/>
  <c r="AC84"/>
  <c r="A85"/>
  <c r="AA85"/>
  <c r="AB85"/>
  <c r="AC85"/>
  <c r="A86"/>
  <c r="AA86"/>
  <c r="AB86"/>
  <c r="AC86"/>
  <c r="A87"/>
  <c r="AA87"/>
  <c r="AB87"/>
  <c r="AC87"/>
  <c r="A88"/>
  <c r="AA88"/>
  <c r="AB88"/>
  <c r="AC88"/>
  <c r="A89"/>
  <c r="AA89"/>
  <c r="AB89"/>
  <c r="AC89"/>
  <c r="A90"/>
  <c r="AA90"/>
  <c r="AB90"/>
  <c r="AC90"/>
  <c r="A91"/>
  <c r="AA91"/>
  <c r="AB91"/>
  <c r="AC91"/>
  <c r="A92"/>
  <c r="AA92"/>
  <c r="AB92"/>
  <c r="AC92"/>
  <c r="A93"/>
  <c r="AA93"/>
  <c r="AB93"/>
  <c r="AC93"/>
  <c r="A94"/>
  <c r="AA94"/>
  <c r="AB94"/>
  <c r="AC94"/>
  <c r="A95"/>
  <c r="AA95"/>
  <c r="AB95"/>
  <c r="AC95"/>
  <c r="A96"/>
  <c r="AA96"/>
  <c r="AB96"/>
  <c r="AC96"/>
  <c r="A97"/>
  <c r="AA97"/>
  <c r="AB97"/>
  <c r="AC97"/>
  <c r="A98"/>
  <c r="AA98"/>
  <c r="AB98"/>
  <c r="AC98"/>
  <c r="A99"/>
  <c r="AA99"/>
  <c r="AB99"/>
  <c r="AC99"/>
  <c r="A100"/>
  <c r="AA100"/>
  <c r="AB100"/>
  <c r="AC100"/>
  <c r="A101"/>
  <c r="AA101"/>
  <c r="AB101"/>
  <c r="AC101"/>
  <c r="A102"/>
  <c r="AA102"/>
  <c r="AB102"/>
  <c r="AC102"/>
  <c r="AA103"/>
  <c r="AB103"/>
  <c r="AC103"/>
  <c r="E104"/>
  <c r="G104"/>
  <c r="I104"/>
  <c r="J104" s="1"/>
  <c r="AA104"/>
  <c r="AB104"/>
  <c r="AC104"/>
  <c r="AA105"/>
  <c r="AB105"/>
  <c r="AC105"/>
  <c r="G106"/>
  <c r="AA106"/>
  <c r="AB106"/>
  <c r="AC106"/>
  <c r="AA107"/>
  <c r="AB107"/>
  <c r="AC107"/>
  <c r="E108"/>
  <c r="AA108"/>
  <c r="AB108"/>
  <c r="AC108"/>
  <c r="F109"/>
  <c r="G109"/>
  <c r="AA109"/>
  <c r="AB109"/>
  <c r="AC109"/>
  <c r="AA110"/>
  <c r="AB110"/>
  <c r="AC110"/>
  <c r="AA111"/>
  <c r="AB111"/>
  <c r="AC111"/>
  <c r="AA112"/>
  <c r="AB112"/>
  <c r="AC112"/>
  <c r="AA113"/>
  <c r="AB113"/>
  <c r="AC113"/>
  <c r="AA114"/>
  <c r="AB114"/>
  <c r="AC114"/>
  <c r="AA115"/>
  <c r="AB115"/>
  <c r="AC115"/>
  <c r="AA116"/>
  <c r="AB116"/>
  <c r="AC116"/>
  <c r="AA117"/>
  <c r="AB117"/>
  <c r="AC117"/>
  <c r="A118"/>
  <c r="AA118"/>
  <c r="AB118"/>
  <c r="AC118"/>
  <c r="A119"/>
  <c r="AA119"/>
  <c r="AB119"/>
  <c r="AC119"/>
  <c r="A120"/>
  <c r="AA120"/>
  <c r="AB120"/>
  <c r="AC120"/>
  <c r="A121"/>
  <c r="AA121"/>
  <c r="AB121"/>
  <c r="AC121"/>
  <c r="A122"/>
  <c r="AA122"/>
  <c r="AB122"/>
  <c r="AC122"/>
  <c r="A123"/>
  <c r="AA123"/>
  <c r="AB123"/>
  <c r="AC123"/>
  <c r="A124"/>
  <c r="AA124"/>
  <c r="AB124"/>
  <c r="AC124"/>
  <c r="A125"/>
  <c r="AA125"/>
  <c r="AB125"/>
  <c r="AC125"/>
  <c r="A126"/>
  <c r="AA126"/>
  <c r="AB126"/>
  <c r="AC126"/>
  <c r="A127"/>
  <c r="AA127"/>
  <c r="AB127"/>
  <c r="AC127"/>
  <c r="A128"/>
  <c r="D128"/>
  <c r="F128"/>
  <c r="AA128"/>
  <c r="AB128"/>
  <c r="AC128"/>
  <c r="A129"/>
  <c r="D129"/>
  <c r="F129"/>
  <c r="AA129"/>
  <c r="AB129"/>
  <c r="AC129"/>
  <c r="A130"/>
  <c r="D130"/>
  <c r="F130"/>
  <c r="AA130"/>
  <c r="AB130"/>
  <c r="AC130"/>
  <c r="A131"/>
  <c r="AA131"/>
  <c r="AB131"/>
  <c r="AC131"/>
  <c r="A132"/>
  <c r="AA132"/>
  <c r="AB132"/>
  <c r="AC132"/>
  <c r="A133"/>
  <c r="AA133"/>
  <c r="AB133"/>
  <c r="AC133"/>
  <c r="A134"/>
  <c r="AA134"/>
  <c r="AB134"/>
  <c r="AC134"/>
  <c r="A135"/>
  <c r="AA135"/>
  <c r="AB135"/>
  <c r="AC135"/>
  <c r="A136"/>
  <c r="AA136"/>
  <c r="AB136"/>
  <c r="AC136"/>
  <c r="A137"/>
  <c r="AA137"/>
  <c r="AB137"/>
  <c r="AC137"/>
  <c r="A138"/>
  <c r="AA138"/>
  <c r="AB138"/>
  <c r="AC138"/>
  <c r="A139"/>
  <c r="AA139"/>
  <c r="AB139"/>
  <c r="AC139"/>
  <c r="A140"/>
  <c r="AA140"/>
  <c r="AB140"/>
  <c r="AC140"/>
  <c r="A141"/>
  <c r="AA141"/>
  <c r="AB141"/>
  <c r="AC141"/>
  <c r="A142"/>
  <c r="AA142"/>
  <c r="AB142"/>
  <c r="AC142"/>
  <c r="A143"/>
  <c r="AA143"/>
  <c r="AB143"/>
  <c r="AC143"/>
  <c r="A144"/>
  <c r="AA144"/>
  <c r="AB144"/>
  <c r="AC144"/>
  <c r="A145"/>
  <c r="AA145"/>
  <c r="AB145"/>
  <c r="AC145"/>
  <c r="A146"/>
  <c r="AA146"/>
  <c r="AB146"/>
  <c r="AC146"/>
  <c r="A147"/>
  <c r="AA147"/>
  <c r="AB147"/>
  <c r="AC147"/>
  <c r="A148"/>
  <c r="AA148"/>
  <c r="AB148"/>
  <c r="AC148"/>
  <c r="A149"/>
  <c r="AA149"/>
  <c r="AB149"/>
  <c r="AC149"/>
  <c r="A150"/>
  <c r="AA150"/>
  <c r="AB150"/>
  <c r="AC150"/>
  <c r="A151"/>
  <c r="AA151"/>
  <c r="AB151"/>
  <c r="AC151"/>
  <c r="A152"/>
  <c r="AA152"/>
  <c r="AB152"/>
  <c r="AC152"/>
  <c r="A153"/>
  <c r="AA153"/>
  <c r="AB153"/>
  <c r="AC153"/>
  <c r="AA154"/>
  <c r="AB154"/>
  <c r="AC154"/>
  <c r="E155"/>
  <c r="G155"/>
  <c r="I155"/>
  <c r="J155" s="1"/>
  <c r="AA155"/>
  <c r="AB155"/>
  <c r="AC155"/>
  <c r="AA156"/>
  <c r="AB156"/>
  <c r="AC156"/>
  <c r="G157"/>
  <c r="AA157"/>
  <c r="AB157"/>
  <c r="AC157"/>
  <c r="AA158"/>
  <c r="AB158"/>
  <c r="AC158"/>
  <c r="E159"/>
  <c r="AA159"/>
  <c r="AB159"/>
  <c r="AC159"/>
  <c r="F160"/>
  <c r="G160"/>
  <c r="AA160"/>
  <c r="AB160"/>
  <c r="AC160"/>
  <c r="AA161"/>
  <c r="AB161"/>
  <c r="AC161"/>
  <c r="AA162"/>
  <c r="AB162"/>
  <c r="AC162"/>
  <c r="AA163"/>
  <c r="AB163"/>
  <c r="AC163"/>
  <c r="AA164"/>
  <c r="AB164"/>
  <c r="AC164"/>
  <c r="AA165"/>
  <c r="AB165"/>
  <c r="AC165"/>
  <c r="AA166"/>
  <c r="AB166"/>
  <c r="AC166"/>
  <c r="AA167"/>
  <c r="AB167"/>
  <c r="AC167"/>
  <c r="AA168"/>
  <c r="AB168"/>
  <c r="AC168"/>
  <c r="K169"/>
  <c r="AA169"/>
  <c r="AB169"/>
  <c r="AC169"/>
  <c r="A170"/>
  <c r="K170"/>
  <c r="AA170"/>
  <c r="AB170"/>
  <c r="AC170"/>
  <c r="A171"/>
  <c r="K171"/>
  <c r="AA171"/>
  <c r="AB171"/>
  <c r="AC171"/>
  <c r="A172"/>
  <c r="K172"/>
  <c r="AA172"/>
  <c r="AB172"/>
  <c r="AC172"/>
  <c r="A173"/>
  <c r="K173"/>
  <c r="AA173"/>
  <c r="AB173"/>
  <c r="AC173"/>
  <c r="A174"/>
  <c r="K174"/>
  <c r="AA174"/>
  <c r="AB174"/>
  <c r="AC174"/>
  <c r="A175"/>
  <c r="K175"/>
  <c r="AA175"/>
  <c r="AB175"/>
  <c r="AC175"/>
  <c r="A176"/>
  <c r="K176"/>
  <c r="AA176"/>
  <c r="AB176"/>
  <c r="AC176"/>
  <c r="A177"/>
  <c r="K177"/>
  <c r="AA177"/>
  <c r="AB177"/>
  <c r="AC177"/>
  <c r="A178"/>
  <c r="K178"/>
  <c r="AA178"/>
  <c r="AB178"/>
  <c r="AC178"/>
  <c r="A179"/>
  <c r="K179"/>
  <c r="AA179"/>
  <c r="AB179"/>
  <c r="AC179"/>
  <c r="A180"/>
  <c r="D180"/>
  <c r="F180"/>
  <c r="K180"/>
  <c r="AA180"/>
  <c r="AB180"/>
  <c r="AC180"/>
  <c r="A181"/>
  <c r="D181"/>
  <c r="F181"/>
  <c r="K181"/>
  <c r="AA181"/>
  <c r="AB181"/>
  <c r="AC181"/>
  <c r="A182"/>
  <c r="D182"/>
  <c r="F182"/>
  <c r="K182"/>
  <c r="AA182"/>
  <c r="AB182"/>
  <c r="AC182"/>
  <c r="A183"/>
  <c r="K183"/>
  <c r="AA183"/>
  <c r="AB183"/>
  <c r="AC183"/>
  <c r="A184"/>
  <c r="K184"/>
  <c r="AA184"/>
  <c r="AB184"/>
  <c r="AC184"/>
  <c r="A185"/>
  <c r="K185"/>
  <c r="AA185"/>
  <c r="AB185"/>
  <c r="AC185"/>
  <c r="A186"/>
  <c r="K186"/>
  <c r="AA186"/>
  <c r="AB186"/>
  <c r="AC186"/>
  <c r="A187"/>
  <c r="K187"/>
  <c r="AA187"/>
  <c r="AB187"/>
  <c r="AC187"/>
  <c r="A188"/>
  <c r="K188"/>
  <c r="AA188"/>
  <c r="AB188"/>
  <c r="AC188"/>
  <c r="A189"/>
  <c r="K189"/>
  <c r="AA189"/>
  <c r="AB189"/>
  <c r="AC189"/>
  <c r="K190"/>
  <c r="AA190"/>
  <c r="AB190"/>
  <c r="AC190"/>
  <c r="A191"/>
  <c r="K191"/>
  <c r="AA191"/>
  <c r="AB191"/>
  <c r="AC191"/>
  <c r="A192"/>
  <c r="K192"/>
  <c r="AA192"/>
  <c r="AB192"/>
  <c r="AC192"/>
  <c r="A193"/>
  <c r="K193"/>
  <c r="AA193"/>
  <c r="AB193"/>
  <c r="AC193"/>
  <c r="A194"/>
  <c r="K194"/>
  <c r="AA194"/>
  <c r="AB194"/>
  <c r="AC194"/>
  <c r="A195"/>
  <c r="K195"/>
  <c r="AA195"/>
  <c r="AB195"/>
  <c r="AC195"/>
  <c r="A196"/>
  <c r="K196"/>
  <c r="AA196"/>
  <c r="AB196"/>
  <c r="AC196"/>
  <c r="A197"/>
  <c r="K197"/>
  <c r="AA197"/>
  <c r="AB197"/>
  <c r="AC197"/>
  <c r="A198"/>
  <c r="K198"/>
  <c r="AA198"/>
  <c r="AB198"/>
  <c r="AC198"/>
  <c r="A199"/>
  <c r="K199"/>
  <c r="AA199"/>
  <c r="AB199"/>
  <c r="AC199"/>
  <c r="A200"/>
  <c r="K200"/>
  <c r="AA200"/>
  <c r="AB200"/>
  <c r="AC200"/>
  <c r="A201"/>
  <c r="K201"/>
  <c r="AA201"/>
  <c r="AB201"/>
  <c r="AC201"/>
  <c r="A202"/>
  <c r="K202"/>
  <c r="AA202"/>
  <c r="AB202"/>
  <c r="AC202"/>
  <c r="A203"/>
  <c r="K203"/>
  <c r="AA203"/>
  <c r="AB203"/>
  <c r="AC203"/>
  <c r="A204"/>
  <c r="K204"/>
  <c r="AA204"/>
  <c r="AB204"/>
  <c r="AC204"/>
  <c r="A205"/>
  <c r="K205"/>
  <c r="AA205"/>
  <c r="AB205"/>
  <c r="AC205"/>
  <c r="K206"/>
  <c r="AA206"/>
  <c r="AB206"/>
  <c r="AC206"/>
  <c r="E207"/>
  <c r="G207"/>
  <c r="I207"/>
  <c r="J207" s="1"/>
  <c r="AA207"/>
  <c r="AB207"/>
  <c r="AC207"/>
  <c r="AA208"/>
  <c r="AB208"/>
  <c r="AC208"/>
  <c r="G209"/>
  <c r="I209"/>
  <c r="J209" s="1"/>
  <c r="AA209"/>
  <c r="AB209"/>
  <c r="AC209"/>
  <c r="AA210"/>
  <c r="AB210"/>
  <c r="AC210"/>
  <c r="E211"/>
  <c r="AA211"/>
  <c r="AB211"/>
  <c r="AC211"/>
  <c r="F212"/>
  <c r="G212"/>
  <c r="AA212"/>
  <c r="AB212"/>
  <c r="AC212"/>
  <c r="AA213"/>
  <c r="AB213"/>
  <c r="AC213"/>
  <c r="AA214"/>
  <c r="AB214"/>
  <c r="AC214"/>
  <c r="AA215"/>
  <c r="AB215"/>
  <c r="AC215"/>
  <c r="AA216"/>
  <c r="AB216"/>
  <c r="AC216"/>
  <c r="AA217"/>
  <c r="AB217"/>
  <c r="AC217"/>
  <c r="AA218"/>
  <c r="AB218"/>
  <c r="AC218"/>
  <c r="AA219"/>
  <c r="AB219"/>
  <c r="AC219"/>
  <c r="AA220"/>
  <c r="AB220"/>
  <c r="AC220"/>
  <c r="K221"/>
  <c r="AA221"/>
  <c r="AB221"/>
  <c r="AC221"/>
  <c r="A222"/>
  <c r="K222"/>
  <c r="AA222"/>
  <c r="AB222"/>
  <c r="AC222"/>
  <c r="A223"/>
  <c r="K223"/>
  <c r="AA223"/>
  <c r="AB223"/>
  <c r="AC223"/>
  <c r="A224"/>
  <c r="K224"/>
  <c r="AA224"/>
  <c r="AB224"/>
  <c r="AC224"/>
  <c r="A225"/>
  <c r="K225"/>
  <c r="AA225"/>
  <c r="AB225"/>
  <c r="AC225"/>
  <c r="A226"/>
  <c r="K226"/>
  <c r="AA226"/>
  <c r="AB226"/>
  <c r="AC226"/>
  <c r="A227"/>
  <c r="K227"/>
  <c r="AA227"/>
  <c r="AB227"/>
  <c r="AC227"/>
  <c r="A228"/>
  <c r="K228"/>
  <c r="AA228"/>
  <c r="AB228"/>
  <c r="AC228"/>
  <c r="A229"/>
  <c r="K229"/>
  <c r="AA229"/>
  <c r="AB229"/>
  <c r="AC229"/>
  <c r="A230"/>
  <c r="K230"/>
  <c r="AA230"/>
  <c r="AB230"/>
  <c r="AC230"/>
  <c r="A231"/>
  <c r="K231"/>
  <c r="AA231"/>
  <c r="AB231"/>
  <c r="AC231"/>
  <c r="A232"/>
  <c r="D232"/>
  <c r="F232"/>
  <c r="K232"/>
  <c r="AA232"/>
  <c r="AB232"/>
  <c r="AC232"/>
  <c r="A233"/>
  <c r="D233"/>
  <c r="F233"/>
  <c r="K233"/>
  <c r="AA233"/>
  <c r="AB233"/>
  <c r="AC233"/>
  <c r="A234"/>
  <c r="D234"/>
  <c r="F234"/>
  <c r="K234"/>
  <c r="AA234"/>
  <c r="AB234"/>
  <c r="AC234"/>
  <c r="A235"/>
  <c r="K235"/>
  <c r="AA235"/>
  <c r="AB235"/>
  <c r="AC235"/>
  <c r="A236"/>
  <c r="K236"/>
  <c r="AA236"/>
  <c r="AB236"/>
  <c r="AC236"/>
  <c r="A237"/>
  <c r="K237"/>
  <c r="AA237"/>
  <c r="AB237"/>
  <c r="AC237"/>
  <c r="A238"/>
  <c r="K238"/>
  <c r="AA238"/>
  <c r="AB238"/>
  <c r="AC238"/>
  <c r="A239"/>
  <c r="K239"/>
  <c r="AA239"/>
  <c r="AB239"/>
  <c r="AC239"/>
  <c r="A240"/>
  <c r="K240"/>
  <c r="AA240"/>
  <c r="AB240"/>
  <c r="AC240"/>
  <c r="A241"/>
  <c r="K241"/>
  <c r="AA241"/>
  <c r="AB241"/>
  <c r="AC241"/>
  <c r="A242"/>
  <c r="K242"/>
  <c r="AA242"/>
  <c r="AB242"/>
  <c r="AC242"/>
  <c r="A243"/>
  <c r="K243"/>
  <c r="AA243"/>
  <c r="AB243"/>
  <c r="AC243"/>
  <c r="A244"/>
  <c r="K244"/>
  <c r="AA244"/>
  <c r="AB244"/>
  <c r="AC244"/>
  <c r="A245"/>
  <c r="K245"/>
  <c r="AA245"/>
  <c r="AB245"/>
  <c r="AC245"/>
  <c r="A246"/>
  <c r="K246"/>
  <c r="AA246"/>
  <c r="AB246"/>
  <c r="AC246"/>
  <c r="A247"/>
  <c r="K247"/>
  <c r="AA247"/>
  <c r="AB247"/>
  <c r="AC247"/>
  <c r="A248"/>
  <c r="K248"/>
  <c r="AA248"/>
  <c r="AB248"/>
  <c r="AC248"/>
  <c r="A249"/>
  <c r="K249"/>
  <c r="AA249"/>
  <c r="AB249"/>
  <c r="AC249"/>
  <c r="A250"/>
  <c r="K250"/>
  <c r="AA250"/>
  <c r="AB250"/>
  <c r="AC250"/>
  <c r="A251"/>
  <c r="K251"/>
  <c r="AA251"/>
  <c r="AB251"/>
  <c r="AC251"/>
  <c r="A252"/>
  <c r="K252"/>
  <c r="AA252"/>
  <c r="AB252"/>
  <c r="AC252"/>
  <c r="A253"/>
  <c r="K253"/>
  <c r="AA253"/>
  <c r="AB253"/>
  <c r="AC253"/>
  <c r="A254"/>
  <c r="K254"/>
  <c r="AA254"/>
  <c r="AB254"/>
  <c r="AC254"/>
  <c r="A255"/>
  <c r="K255"/>
  <c r="AA255"/>
  <c r="AB255"/>
  <c r="AC255"/>
  <c r="A256"/>
  <c r="K256"/>
  <c r="AA256"/>
  <c r="AB256"/>
  <c r="AC256"/>
  <c r="A257"/>
  <c r="K257"/>
  <c r="AA257"/>
  <c r="AB257"/>
  <c r="AC257"/>
  <c r="K258"/>
  <c r="AA258"/>
  <c r="AB258"/>
  <c r="AC258"/>
  <c r="E259"/>
  <c r="G259"/>
  <c r="I259"/>
  <c r="J259" s="1"/>
  <c r="AA259"/>
  <c r="AB259"/>
  <c r="AC259"/>
  <c r="AA260"/>
  <c r="AB260"/>
  <c r="AC260"/>
  <c r="G261"/>
  <c r="AA261"/>
  <c r="AB261"/>
  <c r="AC261"/>
  <c r="AA262"/>
  <c r="AB262"/>
  <c r="AC262"/>
  <c r="E263"/>
  <c r="AA263"/>
  <c r="AB263"/>
  <c r="AC263"/>
  <c r="F264"/>
  <c r="G264"/>
  <c r="AA264"/>
  <c r="AB264"/>
  <c r="AC264"/>
  <c r="AA265"/>
  <c r="AB265"/>
  <c r="AC265"/>
  <c r="AA266"/>
  <c r="AB266"/>
  <c r="AC266"/>
  <c r="AA267"/>
  <c r="AB267"/>
  <c r="AC267"/>
  <c r="AA268"/>
  <c r="AB268"/>
  <c r="AC268"/>
  <c r="AA269"/>
  <c r="AB269"/>
  <c r="AC269"/>
  <c r="AA270"/>
  <c r="AB270"/>
  <c r="AC270"/>
  <c r="AA271"/>
  <c r="AB271"/>
  <c r="AC271"/>
  <c r="AA272"/>
  <c r="AB272"/>
  <c r="AC272"/>
  <c r="A273"/>
  <c r="AA273"/>
  <c r="AB273"/>
  <c r="AC273"/>
  <c r="A274"/>
  <c r="AA274"/>
  <c r="AB274"/>
  <c r="AC274"/>
  <c r="A275"/>
  <c r="AA275"/>
  <c r="AB275"/>
  <c r="AC275"/>
  <c r="A276"/>
  <c r="AA276"/>
  <c r="AB276"/>
  <c r="AC276"/>
  <c r="A277"/>
  <c r="AA277"/>
  <c r="AB277"/>
  <c r="AC277"/>
  <c r="A278"/>
  <c r="AA278"/>
  <c r="AB278"/>
  <c r="AC278"/>
  <c r="A279"/>
  <c r="AA279"/>
  <c r="AB279"/>
  <c r="AC279"/>
  <c r="A280"/>
  <c r="AA280"/>
  <c r="AB280"/>
  <c r="AC280"/>
  <c r="A281"/>
  <c r="AA281"/>
  <c r="AB281"/>
  <c r="AC281"/>
  <c r="A282"/>
  <c r="AA282"/>
  <c r="AB282"/>
  <c r="AC282"/>
  <c r="A283"/>
  <c r="D283"/>
  <c r="F283"/>
  <c r="AA283"/>
  <c r="AB283"/>
  <c r="AC283"/>
  <c r="A284"/>
  <c r="D284"/>
  <c r="F284"/>
  <c r="AA284"/>
  <c r="AB284"/>
  <c r="AC284"/>
  <c r="A285"/>
  <c r="D285"/>
  <c r="F285"/>
  <c r="AA285"/>
  <c r="AB285"/>
  <c r="AC285"/>
  <c r="A286"/>
  <c r="AA286"/>
  <c r="AB286"/>
  <c r="AC286"/>
  <c r="A287"/>
  <c r="AA287"/>
  <c r="AB287"/>
  <c r="AC287"/>
  <c r="A288"/>
  <c r="AA288"/>
  <c r="AB288"/>
  <c r="AC288"/>
  <c r="A289"/>
  <c r="AA289"/>
  <c r="AB289"/>
  <c r="AC289"/>
  <c r="AA290"/>
  <c r="AB290"/>
  <c r="AC290"/>
  <c r="A291"/>
  <c r="AA291"/>
  <c r="AB291"/>
  <c r="AC291"/>
  <c r="A292"/>
  <c r="AA292"/>
  <c r="AB292"/>
  <c r="AC292"/>
  <c r="A293"/>
  <c r="AA293"/>
  <c r="AB293"/>
  <c r="AC293"/>
  <c r="A294"/>
  <c r="AA294"/>
  <c r="AB294"/>
  <c r="AC294"/>
  <c r="A295"/>
  <c r="AA295"/>
  <c r="AB295"/>
  <c r="AC295"/>
  <c r="A296"/>
  <c r="AA296"/>
  <c r="AB296"/>
  <c r="AC296"/>
  <c r="A297"/>
  <c r="AA297"/>
  <c r="AB297"/>
  <c r="AC297"/>
  <c r="A298"/>
  <c r="AA298"/>
  <c r="AB298"/>
  <c r="AC298"/>
  <c r="A299"/>
  <c r="AA299"/>
  <c r="AB299"/>
  <c r="AC299"/>
  <c r="A300"/>
  <c r="AA300"/>
  <c r="AB300"/>
  <c r="AC300"/>
  <c r="A301"/>
  <c r="AA301"/>
  <c r="AB301"/>
  <c r="AC301"/>
  <c r="A302"/>
  <c r="AA302"/>
  <c r="AB302"/>
  <c r="AC302"/>
  <c r="A303"/>
  <c r="AA303"/>
  <c r="AB303"/>
  <c r="AC303"/>
  <c r="A304"/>
  <c r="AA304"/>
  <c r="AB304"/>
  <c r="AC304"/>
  <c r="A305"/>
  <c r="AA305"/>
  <c r="AB305"/>
  <c r="AC305"/>
  <c r="A306"/>
  <c r="AA306"/>
  <c r="AB306"/>
  <c r="AC306"/>
  <c r="A307"/>
  <c r="AA307"/>
  <c r="AB307"/>
  <c r="AC307"/>
  <c r="A308"/>
  <c r="AA308"/>
  <c r="AB308"/>
  <c r="AC308"/>
  <c r="AA309"/>
  <c r="AB309"/>
  <c r="AC309"/>
  <c r="E310"/>
  <c r="G310"/>
  <c r="I310"/>
  <c r="J310" s="1"/>
  <c r="K310"/>
  <c r="AA310"/>
  <c r="AB310"/>
  <c r="AC310"/>
  <c r="AA311"/>
  <c r="AB311"/>
  <c r="AC311"/>
  <c r="G312"/>
  <c r="K312"/>
  <c r="AA312"/>
  <c r="AB312"/>
  <c r="AC312"/>
  <c r="AA313"/>
  <c r="AB313"/>
  <c r="AC313"/>
  <c r="E314"/>
  <c r="AA314"/>
  <c r="AB314"/>
  <c r="AC314"/>
  <c r="F315"/>
  <c r="G315"/>
  <c r="AA315"/>
  <c r="AB315"/>
  <c r="AC315"/>
  <c r="AA316"/>
  <c r="AB316"/>
  <c r="AC316"/>
  <c r="AA317"/>
  <c r="AB317"/>
  <c r="AC317"/>
  <c r="AA318"/>
  <c r="AB318"/>
  <c r="AC318"/>
  <c r="AA319"/>
  <c r="AB319"/>
  <c r="AC319"/>
  <c r="AA320"/>
  <c r="AB320"/>
  <c r="AC320"/>
  <c r="AA321"/>
  <c r="AB321"/>
  <c r="AC321"/>
  <c r="AA322"/>
  <c r="AB322"/>
  <c r="AC322"/>
  <c r="AA323"/>
  <c r="AB323"/>
  <c r="AC323"/>
  <c r="AA324"/>
  <c r="AB324"/>
  <c r="AC324"/>
  <c r="A325"/>
  <c r="AA325"/>
  <c r="AB325"/>
  <c r="AC325"/>
  <c r="A326"/>
  <c r="K326"/>
  <c r="AA326"/>
  <c r="AB326"/>
  <c r="AC326"/>
  <c r="A327"/>
  <c r="K327"/>
  <c r="AA327"/>
  <c r="AB327"/>
  <c r="AC327"/>
  <c r="A328"/>
  <c r="K328"/>
  <c r="AA328"/>
  <c r="AB328"/>
  <c r="AC328"/>
  <c r="K329"/>
  <c r="AA329"/>
  <c r="AB329"/>
  <c r="AC329"/>
  <c r="A330"/>
  <c r="K330"/>
  <c r="AA330"/>
  <c r="AB330"/>
  <c r="AC330"/>
  <c r="A331"/>
  <c r="K331"/>
  <c r="AA331"/>
  <c r="AB331"/>
  <c r="AC331"/>
  <c r="A332"/>
  <c r="K332"/>
  <c r="AA332"/>
  <c r="AB332"/>
  <c r="AC332"/>
  <c r="A333"/>
  <c r="K333"/>
  <c r="AA333"/>
  <c r="AB333"/>
  <c r="AC333"/>
  <c r="A334"/>
  <c r="D334"/>
  <c r="F334"/>
  <c r="K334"/>
  <c r="AA334"/>
  <c r="AB334"/>
  <c r="AC334"/>
  <c r="A335"/>
  <c r="D335"/>
  <c r="F335"/>
  <c r="K335"/>
  <c r="AA335"/>
  <c r="AB335"/>
  <c r="AC335"/>
  <c r="A336"/>
  <c r="D336"/>
  <c r="F336"/>
  <c r="K336"/>
  <c r="AA336"/>
  <c r="AB336"/>
  <c r="AC336"/>
  <c r="A337"/>
  <c r="K337"/>
  <c r="AA337"/>
  <c r="AB337"/>
  <c r="AC337"/>
  <c r="A338"/>
  <c r="K338"/>
  <c r="AA338"/>
  <c r="AB338"/>
  <c r="AC338"/>
  <c r="K339"/>
  <c r="AA339"/>
  <c r="AB339"/>
  <c r="AC339"/>
  <c r="A340"/>
  <c r="K340"/>
  <c r="AA340"/>
  <c r="AB340"/>
  <c r="AC340"/>
  <c r="A341"/>
  <c r="K341"/>
  <c r="AA341"/>
  <c r="AB341"/>
  <c r="AC341"/>
  <c r="A342"/>
  <c r="K342"/>
  <c r="AA342"/>
  <c r="AB342"/>
  <c r="AC342"/>
  <c r="A343"/>
  <c r="K343"/>
  <c r="AA343"/>
  <c r="AB343"/>
  <c r="AC343"/>
  <c r="A344"/>
  <c r="K344"/>
  <c r="AA344"/>
  <c r="AB344"/>
  <c r="AC344"/>
  <c r="A345"/>
  <c r="K345"/>
  <c r="AA345"/>
  <c r="AB345"/>
  <c r="AC345"/>
  <c r="A346"/>
  <c r="K346"/>
  <c r="AA346"/>
  <c r="AB346"/>
  <c r="AC346"/>
  <c r="A347"/>
  <c r="K347"/>
  <c r="AA347"/>
  <c r="AB347"/>
  <c r="AC347"/>
  <c r="A348"/>
  <c r="K348"/>
  <c r="AA348"/>
  <c r="AB348"/>
  <c r="AC348"/>
  <c r="A349"/>
  <c r="K349"/>
  <c r="AA349"/>
  <c r="AB349"/>
  <c r="AC349"/>
  <c r="A350"/>
  <c r="K350"/>
  <c r="AA350"/>
  <c r="AB350"/>
  <c r="AC350"/>
  <c r="A351"/>
  <c r="K351"/>
  <c r="AA351"/>
  <c r="AB351"/>
  <c r="AC351"/>
  <c r="A352"/>
  <c r="K352"/>
  <c r="AA352"/>
  <c r="AB352"/>
  <c r="AC352"/>
  <c r="A353"/>
  <c r="K353"/>
  <c r="AA353"/>
  <c r="AB353"/>
  <c r="AC353"/>
  <c r="A354"/>
  <c r="K354"/>
  <c r="AA354"/>
  <c r="AB354"/>
  <c r="AC354"/>
  <c r="A355"/>
  <c r="K355"/>
  <c r="AA355"/>
  <c r="AB355"/>
  <c r="AC355"/>
  <c r="A356"/>
  <c r="K356"/>
  <c r="AA356"/>
  <c r="AB356"/>
  <c r="AC356"/>
  <c r="A357"/>
  <c r="K357"/>
  <c r="AA357"/>
  <c r="AB357"/>
  <c r="AC357"/>
  <c r="A358"/>
  <c r="K358"/>
  <c r="AA358"/>
  <c r="AB358"/>
  <c r="AC358"/>
  <c r="A359"/>
  <c r="K359"/>
  <c r="AA359"/>
  <c r="AB359"/>
  <c r="AC359"/>
  <c r="K360"/>
  <c r="AA360"/>
  <c r="AB360"/>
  <c r="AC360"/>
  <c r="E361"/>
  <c r="G361"/>
  <c r="I361"/>
  <c r="AA361"/>
  <c r="AB361"/>
  <c r="AC361"/>
  <c r="AA362"/>
  <c r="AB362"/>
  <c r="AC362"/>
  <c r="G363"/>
  <c r="AA363"/>
  <c r="AB363"/>
  <c r="AC363"/>
  <c r="AA364"/>
  <c r="AB364"/>
  <c r="AC364"/>
  <c r="E365"/>
  <c r="AA365"/>
  <c r="AB365"/>
  <c r="AC365"/>
  <c r="F366"/>
  <c r="G366"/>
  <c r="AA366"/>
  <c r="AB366"/>
  <c r="AC366"/>
  <c r="AA367"/>
  <c r="AB367"/>
  <c r="AC367"/>
  <c r="AA368"/>
  <c r="AB368"/>
  <c r="AC368"/>
  <c r="AA369"/>
  <c r="AB369"/>
  <c r="AC369"/>
  <c r="AA370"/>
  <c r="AB370"/>
  <c r="AC370"/>
  <c r="AA371"/>
  <c r="AB371"/>
  <c r="AC371"/>
  <c r="AA372"/>
  <c r="AB372"/>
  <c r="AC372"/>
  <c r="AA373"/>
  <c r="AB373"/>
  <c r="AC373"/>
  <c r="AA374"/>
  <c r="AB374"/>
  <c r="AC374"/>
  <c r="AA375"/>
  <c r="AB375"/>
  <c r="AC375"/>
  <c r="AA376"/>
  <c r="AB376"/>
  <c r="AC376"/>
  <c r="AA377"/>
  <c r="AB377"/>
  <c r="AC377"/>
  <c r="AA378"/>
  <c r="AB378"/>
  <c r="AC378"/>
  <c r="AA379"/>
  <c r="AB379"/>
  <c r="AC379"/>
  <c r="AA380"/>
  <c r="AB380"/>
  <c r="AC380"/>
  <c r="AA381"/>
  <c r="AB381"/>
  <c r="AC381"/>
  <c r="AA382"/>
  <c r="AB382"/>
  <c r="AC382"/>
  <c r="AA383"/>
  <c r="AB383"/>
  <c r="AC383"/>
  <c r="AA384"/>
  <c r="AB384"/>
  <c r="AC384"/>
  <c r="AA385"/>
  <c r="AB385"/>
  <c r="AC385"/>
  <c r="AA386"/>
  <c r="AB386"/>
  <c r="AC386"/>
  <c r="AA387"/>
  <c r="AB387"/>
  <c r="AC387"/>
  <c r="AA388"/>
  <c r="AB388"/>
  <c r="AC388"/>
  <c r="AA389"/>
  <c r="AB389"/>
  <c r="AC389"/>
  <c r="AA390"/>
  <c r="AB390"/>
  <c r="AC390"/>
  <c r="AA391"/>
  <c r="AB391"/>
  <c r="AC391"/>
  <c r="AA392"/>
  <c r="AB392"/>
  <c r="AC392"/>
  <c r="AA393"/>
  <c r="AB393"/>
  <c r="AC393"/>
  <c r="AA394"/>
  <c r="AB394"/>
  <c r="AC394"/>
  <c r="AA395"/>
  <c r="AB395"/>
  <c r="AC395"/>
  <c r="AA396"/>
  <c r="AB396"/>
  <c r="AC396"/>
  <c r="AA397"/>
  <c r="AB397"/>
  <c r="AC397"/>
  <c r="AA398"/>
  <c r="AB398"/>
  <c r="AC398"/>
  <c r="AA399"/>
  <c r="AB399"/>
  <c r="AC399"/>
  <c r="AA400"/>
  <c r="AB400"/>
  <c r="AC400"/>
  <c r="AA401"/>
  <c r="AB401"/>
  <c r="AC401"/>
  <c r="AA402"/>
  <c r="AB402"/>
  <c r="AC402"/>
  <c r="AA403"/>
  <c r="AB403"/>
  <c r="AC403"/>
  <c r="AA404"/>
  <c r="AB404"/>
  <c r="AC404"/>
  <c r="AA405"/>
  <c r="AB405"/>
  <c r="AC405"/>
  <c r="AA406"/>
  <c r="AB406"/>
  <c r="AC406"/>
  <c r="AA407"/>
  <c r="AB407"/>
  <c r="AC407"/>
  <c r="AA408"/>
  <c r="AB408"/>
  <c r="AC408"/>
  <c r="AA409"/>
  <c r="AB409"/>
  <c r="AC409"/>
  <c r="AA410"/>
  <c r="AB410"/>
  <c r="AC410"/>
  <c r="AA411"/>
  <c r="AB411"/>
  <c r="AC411"/>
  <c r="AA412"/>
  <c r="AB412"/>
  <c r="AC412"/>
  <c r="AA413"/>
  <c r="AB413"/>
  <c r="AC413"/>
  <c r="AA414"/>
  <c r="AB414"/>
  <c r="AC414"/>
  <c r="AA415"/>
  <c r="AB415"/>
  <c r="AC415"/>
  <c r="AA416"/>
  <c r="AB416"/>
  <c r="AC416" s="1"/>
  <c r="AA417"/>
  <c r="AB417"/>
  <c r="AC417" s="1"/>
  <c r="AA418"/>
  <c r="AB418"/>
  <c r="AC418" s="1"/>
  <c r="AA419"/>
  <c r="AB419"/>
  <c r="AC419" s="1"/>
  <c r="AA420"/>
  <c r="AB420"/>
  <c r="AC420" s="1"/>
  <c r="AA421"/>
  <c r="AB421"/>
  <c r="AC421" s="1"/>
  <c r="AA422"/>
  <c r="AB422"/>
  <c r="AC422" s="1"/>
  <c r="AA423"/>
  <c r="AB423"/>
  <c r="AC423" s="1"/>
  <c r="AA424"/>
  <c r="AB424"/>
  <c r="AC424" s="1"/>
  <c r="AA425"/>
  <c r="AB425"/>
  <c r="AC425" s="1"/>
  <c r="AA426"/>
  <c r="AB426"/>
  <c r="AC426" s="1"/>
  <c r="AA427"/>
  <c r="AB427"/>
  <c r="AC427" s="1"/>
  <c r="AA428"/>
  <c r="AB428"/>
  <c r="AC428" s="1"/>
  <c r="AA429"/>
  <c r="AB429"/>
  <c r="AC429" s="1"/>
  <c r="AA430"/>
  <c r="AB430"/>
  <c r="AC430" s="1"/>
  <c r="D5" i="8"/>
  <c r="D6"/>
  <c r="D7"/>
  <c r="D8"/>
  <c r="D9"/>
  <c r="D12"/>
  <c r="D13"/>
  <c r="D14"/>
  <c r="D15"/>
  <c r="F16"/>
  <c r="G16"/>
  <c r="G16" i="7"/>
  <c r="G16" i="18"/>
  <c r="G15" i="6"/>
  <c r="G16"/>
  <c r="G16" i="5"/>
  <c r="G16" i="4"/>
  <c r="A5" i="3"/>
  <c r="C11"/>
  <c r="D11"/>
  <c r="E11"/>
  <c r="F11"/>
  <c r="G11"/>
  <c r="H11"/>
  <c r="A12"/>
  <c r="C12"/>
  <c r="D12"/>
  <c r="E12"/>
  <c r="F12"/>
  <c r="G12"/>
  <c r="H12"/>
  <c r="A13"/>
  <c r="C13"/>
  <c r="D13"/>
  <c r="E13"/>
  <c r="F13"/>
  <c r="G13"/>
  <c r="H13"/>
  <c r="A14"/>
  <c r="C14"/>
  <c r="D14"/>
  <c r="E14"/>
  <c r="F14"/>
  <c r="G14"/>
  <c r="H14"/>
  <c r="A15"/>
  <c r="C15"/>
  <c r="D15"/>
  <c r="E15"/>
  <c r="F15"/>
  <c r="G15"/>
  <c r="H15"/>
  <c r="A16"/>
  <c r="C16"/>
  <c r="D16"/>
  <c r="E16"/>
  <c r="F16"/>
  <c r="G16"/>
  <c r="H16"/>
  <c r="A17"/>
  <c r="C17"/>
  <c r="D17"/>
  <c r="E17"/>
  <c r="F17"/>
  <c r="G17"/>
  <c r="H17"/>
  <c r="A18"/>
  <c r="C18"/>
  <c r="D18"/>
  <c r="E18"/>
  <c r="F18"/>
  <c r="G18"/>
  <c r="H18"/>
  <c r="A19"/>
  <c r="C19"/>
  <c r="D19"/>
  <c r="E19"/>
  <c r="F19"/>
  <c r="G19"/>
  <c r="H19"/>
  <c r="A20"/>
  <c r="C20"/>
  <c r="D20"/>
  <c r="F20"/>
  <c r="G20"/>
  <c r="H20"/>
  <c r="A21"/>
  <c r="C21"/>
  <c r="D21"/>
  <c r="E21"/>
  <c r="F21"/>
  <c r="G21"/>
  <c r="H21"/>
  <c r="A22"/>
  <c r="C22"/>
  <c r="D22"/>
  <c r="E22"/>
  <c r="F22"/>
  <c r="G22"/>
  <c r="H22"/>
  <c r="A23"/>
  <c r="C23"/>
  <c r="D23"/>
  <c r="E23"/>
  <c r="F23"/>
  <c r="G23"/>
  <c r="H23"/>
  <c r="A24"/>
  <c r="C24"/>
  <c r="D24"/>
  <c r="E24"/>
  <c r="F24"/>
  <c r="G24"/>
  <c r="H24"/>
  <c r="A25"/>
  <c r="C25"/>
  <c r="D25"/>
  <c r="E25"/>
  <c r="F25"/>
  <c r="G25"/>
  <c r="H25"/>
  <c r="A26"/>
  <c r="C26"/>
  <c r="D26"/>
  <c r="E26"/>
  <c r="F26"/>
  <c r="G26"/>
  <c r="H26"/>
  <c r="A27"/>
  <c r="C27"/>
  <c r="D27"/>
  <c r="E27"/>
  <c r="F27"/>
  <c r="G27"/>
  <c r="H27"/>
  <c r="A28"/>
  <c r="C28"/>
  <c r="D28"/>
  <c r="E28"/>
  <c r="F28"/>
  <c r="G28"/>
  <c r="H28"/>
  <c r="A29"/>
  <c r="C29"/>
  <c r="D29"/>
  <c r="E29"/>
  <c r="F29"/>
  <c r="G29"/>
  <c r="H29"/>
  <c r="A30"/>
  <c r="C30"/>
  <c r="D30"/>
  <c r="E30"/>
  <c r="F30"/>
  <c r="G30"/>
  <c r="H30"/>
  <c r="A31"/>
  <c r="C31"/>
  <c r="D31"/>
  <c r="E31"/>
  <c r="F31"/>
  <c r="G31"/>
  <c r="H31"/>
  <c r="A32"/>
  <c r="C32"/>
  <c r="D32"/>
  <c r="E32"/>
  <c r="F32"/>
  <c r="G32"/>
  <c r="H32"/>
  <c r="A33"/>
  <c r="C33"/>
  <c r="D33"/>
  <c r="E33"/>
  <c r="F33"/>
  <c r="G33"/>
  <c r="H33"/>
  <c r="A34"/>
  <c r="C34"/>
  <c r="D34"/>
  <c r="E34"/>
  <c r="F34"/>
  <c r="G34"/>
  <c r="H34"/>
  <c r="A35"/>
  <c r="C35"/>
  <c r="D35"/>
  <c r="E35"/>
  <c r="F35"/>
  <c r="G35"/>
  <c r="H35"/>
  <c r="A36"/>
  <c r="C36"/>
  <c r="D36"/>
  <c r="E36"/>
  <c r="F36"/>
  <c r="G36"/>
  <c r="H36"/>
  <c r="A37"/>
  <c r="C37"/>
  <c r="D37"/>
  <c r="E37"/>
  <c r="F37"/>
  <c r="G37"/>
  <c r="H37"/>
  <c r="A38"/>
  <c r="C38"/>
  <c r="D38"/>
  <c r="E38"/>
  <c r="F38"/>
  <c r="G38"/>
  <c r="H38"/>
  <c r="A39"/>
  <c r="C39"/>
  <c r="D39"/>
  <c r="E39"/>
  <c r="F39"/>
  <c r="G39"/>
  <c r="H39"/>
  <c r="A40"/>
  <c r="C40"/>
  <c r="D40"/>
  <c r="E40"/>
  <c r="F40"/>
  <c r="G40"/>
  <c r="H40"/>
  <c r="A41"/>
  <c r="C41"/>
  <c r="D41"/>
  <c r="E41"/>
  <c r="F41"/>
  <c r="G41"/>
  <c r="H41"/>
  <c r="A42"/>
  <c r="C42"/>
  <c r="D42"/>
  <c r="E42"/>
  <c r="F42"/>
  <c r="G42"/>
  <c r="H42"/>
  <c r="A43"/>
  <c r="C43"/>
  <c r="D43"/>
  <c r="E43"/>
  <c r="F43"/>
  <c r="G43"/>
  <c r="H43"/>
  <c r="A44"/>
  <c r="C44"/>
  <c r="D44"/>
  <c r="E44"/>
  <c r="F44"/>
  <c r="G44"/>
  <c r="H44"/>
  <c r="A45"/>
  <c r="C45"/>
  <c r="D45"/>
  <c r="E45"/>
  <c r="F45"/>
  <c r="G45"/>
  <c r="H45"/>
  <c r="A46"/>
  <c r="C46"/>
  <c r="D46"/>
  <c r="E46"/>
  <c r="F46"/>
  <c r="G46"/>
  <c r="H46"/>
  <c r="A47"/>
  <c r="C47"/>
  <c r="D47"/>
  <c r="E47"/>
  <c r="F47"/>
  <c r="G47"/>
  <c r="H47"/>
  <c r="A48"/>
  <c r="C48"/>
  <c r="D48"/>
  <c r="E48"/>
  <c r="F48"/>
  <c r="G48"/>
  <c r="H48"/>
  <c r="D49"/>
  <c r="I49"/>
  <c r="E52"/>
  <c r="E54"/>
  <c r="G17" i="2"/>
  <c r="G16" i="1"/>
  <c r="H25" i="12" l="1"/>
  <c r="H14"/>
  <c r="H15"/>
  <c r="H22" i="13"/>
  <c r="H13" i="12"/>
  <c r="H16"/>
  <c r="G39" i="13"/>
  <c r="F49" i="3"/>
  <c r="H34" i="13"/>
  <c r="N42"/>
  <c r="H48"/>
  <c r="X39" i="11"/>
  <c r="X41"/>
  <c r="X40"/>
  <c r="X44"/>
  <c r="Z54" s="1"/>
  <c r="AD61"/>
  <c r="H18" i="13"/>
  <c r="H17"/>
  <c r="H16"/>
  <c r="H15"/>
  <c r="H13"/>
  <c r="H12"/>
  <c r="H11"/>
  <c r="H12" i="12"/>
  <c r="H39" i="13"/>
  <c r="H10"/>
  <c r="G17" i="12"/>
  <c r="H17" s="1"/>
  <c r="H18" s="1"/>
  <c r="I208" i="11"/>
  <c r="J208" s="1"/>
  <c r="K311"/>
  <c r="I311"/>
  <c r="J311" s="1"/>
  <c r="J361"/>
  <c r="I363"/>
  <c r="J363" s="1"/>
  <c r="I362"/>
  <c r="J362" s="1"/>
  <c r="I312"/>
  <c r="J312" s="1"/>
  <c r="I261"/>
  <c r="J261" s="1"/>
  <c r="I260"/>
  <c r="J260" s="1"/>
  <c r="J50"/>
  <c r="H11" i="12"/>
  <c r="G16" i="19"/>
  <c r="H49" i="3"/>
  <c r="G40" i="13"/>
  <c r="H40" s="1"/>
  <c r="I52" i="11"/>
  <c r="J52" s="1"/>
  <c r="I51"/>
  <c r="J51" s="1"/>
  <c r="G18" i="12"/>
  <c r="I106" i="11"/>
  <c r="J106" s="1"/>
  <c r="I105"/>
  <c r="J105" s="1"/>
  <c r="I157"/>
  <c r="J157" s="1"/>
  <c r="I156"/>
  <c r="J156" s="1"/>
  <c r="H50" i="3" l="1"/>
  <c r="AD60" i="11"/>
  <c r="AD57"/>
  <c r="AD58" s="1"/>
  <c r="AD59"/>
</calcChain>
</file>

<file path=xl/sharedStrings.xml><?xml version="1.0" encoding="utf-8"?>
<sst xmlns="http://schemas.openxmlformats.org/spreadsheetml/2006/main" count="1259" uniqueCount="234">
  <si>
    <t>DATA   VOLUME   WADUK   ROWOPENING.</t>
  </si>
  <si>
    <t>Bulan</t>
  </si>
  <si>
    <t>JAN</t>
  </si>
  <si>
    <t>PEB</t>
  </si>
  <si>
    <t>MAR</t>
  </si>
  <si>
    <t>APR</t>
  </si>
  <si>
    <t>MEI</t>
  </si>
  <si>
    <t>JUN</t>
  </si>
  <si>
    <t>JUL</t>
  </si>
  <si>
    <t>AGU</t>
  </si>
  <si>
    <t>SEP</t>
  </si>
  <si>
    <t>OKT</t>
  </si>
  <si>
    <t>NOP</t>
  </si>
  <si>
    <t>DES</t>
  </si>
  <si>
    <t>KETERANGAN  =  Data bulanan diambil  setiap minggu terakhir.</t>
  </si>
  <si>
    <t xml:space="preserve">                         =  Data mingguan untuk bulan berjalan.</t>
  </si>
  <si>
    <t>DATA   VOLUME   WADUK   SUDIRMAN  5  TAHUN.</t>
  </si>
  <si>
    <t>2009</t>
  </si>
  <si>
    <t>PERHITUNGAN  KETERSEDIAAN  AIR  WADUK</t>
  </si>
  <si>
    <t>DINAS PENGELOLAAN SUMBER DAYA AIR JATENG.</t>
  </si>
  <si>
    <t>No.</t>
  </si>
  <si>
    <t>Nama Waduk</t>
  </si>
  <si>
    <t>Spilway/ Pelimpah</t>
  </si>
  <si>
    <t xml:space="preserve">       Rencana</t>
  </si>
  <si>
    <t>Realisasi</t>
  </si>
  <si>
    <t>Luas layanan</t>
  </si>
  <si>
    <t>Peil</t>
  </si>
  <si>
    <t>Volume</t>
  </si>
  <si>
    <t>( m )</t>
  </si>
  <si>
    <r>
      <t>Juta m</t>
    </r>
    <r>
      <rPr>
        <b/>
        <vertAlign val="superscript"/>
        <sz val="12"/>
        <rFont val="Arial"/>
        <family val="2"/>
      </rPr>
      <t>3</t>
    </r>
  </si>
  <si>
    <t>( Ha )</t>
  </si>
  <si>
    <t>Malahayu</t>
  </si>
  <si>
    <t>Penjalin</t>
  </si>
  <si>
    <t>Cacaban</t>
  </si>
  <si>
    <t>Rawapening</t>
  </si>
  <si>
    <t>Gembong</t>
  </si>
  <si>
    <t>Gunungrowo</t>
  </si>
  <si>
    <t>Kedungombo</t>
  </si>
  <si>
    <t>Tempuran</t>
  </si>
  <si>
    <t>Greneng</t>
  </si>
  <si>
    <t>Lodanwetan</t>
  </si>
  <si>
    <t>-</t>
  </si>
  <si>
    <t>Banyukuwung</t>
  </si>
  <si>
    <t>Nglangon</t>
  </si>
  <si>
    <t>Simo</t>
  </si>
  <si>
    <t>Butak</t>
  </si>
  <si>
    <t>Sanggeh</t>
  </si>
  <si>
    <t>Wonogiri</t>
  </si>
  <si>
    <t>Krisak</t>
  </si>
  <si>
    <t>Plumbon</t>
  </si>
  <si>
    <t>Songputri</t>
  </si>
  <si>
    <t>Parangjoho</t>
  </si>
  <si>
    <t>Kedunguling</t>
  </si>
  <si>
    <t>Nawangan</t>
  </si>
  <si>
    <t>Ngancar</t>
  </si>
  <si>
    <t>Lalung</t>
  </si>
  <si>
    <t>Delingan</t>
  </si>
  <si>
    <t>Gebyar</t>
  </si>
  <si>
    <t>Kembangan</t>
  </si>
  <si>
    <t>Botok</t>
  </si>
  <si>
    <t>Ketro</t>
  </si>
  <si>
    <t>Blimbing</t>
  </si>
  <si>
    <t>Brambang</t>
  </si>
  <si>
    <t>Cengklik</t>
  </si>
  <si>
    <t>Klego</t>
  </si>
  <si>
    <t>Jombor</t>
  </si>
  <si>
    <t>Mulur</t>
  </si>
  <si>
    <t>Sempor</t>
  </si>
  <si>
    <t>Wadaslintang</t>
  </si>
  <si>
    <t>Sudirman</t>
  </si>
  <si>
    <t>Jumlah Volume</t>
  </si>
  <si>
    <t xml:space="preserve"> </t>
  </si>
  <si>
    <t>Prosentase</t>
  </si>
  <si>
    <t>File : D / USMAN  2008 / WADUK</t>
  </si>
  <si>
    <t>Perhitungan    =</t>
  </si>
  <si>
    <t>ton</t>
  </si>
  <si>
    <t>DATA   VOLUME   WADUK   CACABAN  5 TAHUN.</t>
  </si>
  <si>
    <t>AGS</t>
  </si>
  <si>
    <t>DATA   VOLUME   WADUK   MALAHAYU 5 TAHUN.</t>
  </si>
  <si>
    <t>DATA   VOLUME   WADUK   SEMPOR  5  TAHUN.</t>
  </si>
  <si>
    <t>DATA   VOLUME   WADUK   WADASLINTANG   5  TAHUN.</t>
  </si>
  <si>
    <t>DATA   VOLUME   WADUK   KEDUNGOMBO 5 TAHUN</t>
  </si>
  <si>
    <t xml:space="preserve">                        *)  Tgl. 21 April 2006 terjadi limpas untuk periode  7 tahun.</t>
  </si>
  <si>
    <t>Keterangan</t>
  </si>
  <si>
    <t>DATA  KETERSEDIAAN  AIR  WADUK</t>
  </si>
  <si>
    <t>Kabupaten</t>
  </si>
  <si>
    <t>Brebes</t>
  </si>
  <si>
    <t>Tegal</t>
  </si>
  <si>
    <t>Semarang</t>
  </si>
  <si>
    <t>Pati</t>
  </si>
  <si>
    <t>Grobogan</t>
  </si>
  <si>
    <t>Blora</t>
  </si>
  <si>
    <t>Rembang</t>
  </si>
  <si>
    <t>Perbaikan</t>
  </si>
  <si>
    <t>Gajahmungkur</t>
  </si>
  <si>
    <t>Karanganyar</t>
  </si>
  <si>
    <t>Sragen</t>
  </si>
  <si>
    <t>Boyolali</t>
  </si>
  <si>
    <t>Klaten</t>
  </si>
  <si>
    <t>Sukoharjo</t>
  </si>
  <si>
    <t>Kebumen</t>
  </si>
  <si>
    <t>Banjarnegara</t>
  </si>
  <si>
    <t>Keterangan :  Sedimen Gajahmungkur 151.500 juta m3</t>
  </si>
  <si>
    <t>JUMLAH</t>
  </si>
  <si>
    <t>Keterangan :</t>
  </si>
  <si>
    <t>Rasio Ketersediaan air berdasarkan volume rencana dan realisasi :</t>
  </si>
  <si>
    <t>Areal (Ha)</t>
  </si>
  <si>
    <t>Elevasi (m)</t>
  </si>
  <si>
    <t>Rencana</t>
  </si>
  <si>
    <t>100 %</t>
  </si>
  <si>
    <t xml:space="preserve">  </t>
  </si>
  <si>
    <t xml:space="preserve">&gt; 100 %            </t>
  </si>
  <si>
    <t>=</t>
  </si>
  <si>
    <t>Volume diatas rencana</t>
  </si>
  <si>
    <t xml:space="preserve">85 % - 100 %   </t>
  </si>
  <si>
    <t>Volume sesuai rencana</t>
  </si>
  <si>
    <t xml:space="preserve">&lt;  85 %             </t>
  </si>
  <si>
    <t>Volume dibawah rencana</t>
  </si>
  <si>
    <t>Waduk dalam  keadaan air habis</t>
  </si>
  <si>
    <r>
      <t>DATA KETERSEDIAAN  AIR  WADUK KECIL (&lt; 10.000.000 M</t>
    </r>
    <r>
      <rPr>
        <b/>
        <vertAlign val="superscript"/>
        <sz val="12"/>
        <rFont val="Lucida Handwriting"/>
        <family val="4"/>
      </rPr>
      <t>3</t>
    </r>
    <r>
      <rPr>
        <b/>
        <sz val="12"/>
        <rFont val="Lucida Handwriting"/>
        <family val="4"/>
      </rPr>
      <t>)</t>
    </r>
  </si>
  <si>
    <t>Areal</t>
  </si>
  <si>
    <t>Elevasi  ( m )</t>
  </si>
  <si>
    <t>Ha</t>
  </si>
  <si>
    <t>Kurang = &lt;</t>
  </si>
  <si>
    <t>kosong</t>
  </si>
  <si>
    <t>lebih = &gt;</t>
  </si>
  <si>
    <t xml:space="preserve"> sama = </t>
  </si>
  <si>
    <t xml:space="preserve">PERBANDINGAN </t>
  </si>
  <si>
    <t>POLA OPERASI NORMAL DENGAN REALISASI</t>
  </si>
  <si>
    <t>Waduk Kedungombo Tahun 2008</t>
  </si>
  <si>
    <t>Pola Normal</t>
  </si>
  <si>
    <t>Faktor K</t>
  </si>
  <si>
    <r>
      <t>Vol (Juta 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</t>
    </r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</si>
  <si>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</si>
  <si>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</si>
  <si>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</si>
  <si>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</si>
  <si>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</si>
  <si>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</si>
  <si>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</si>
  <si>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</si>
  <si>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</si>
  <si>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</si>
  <si>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</si>
  <si>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</si>
  <si>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r>
      <t>Volume ( juta m</t>
    </r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)</t>
    </r>
  </si>
  <si>
    <t>&gt; DIATAS</t>
  </si>
  <si>
    <t>= SAMA</t>
  </si>
  <si>
    <t>0 = KOSONG</t>
  </si>
  <si>
    <t>&lt; DIBAWAH</t>
  </si>
  <si>
    <t>2010</t>
  </si>
  <si>
    <r>
      <t>DATA KETERSEDIAAN  AIR  WADUK BESAR ( &gt; 10.000.000 M</t>
    </r>
    <r>
      <rPr>
        <b/>
        <vertAlign val="superscript"/>
        <sz val="9"/>
        <rFont val="Lucida Handwriting"/>
        <family val="4"/>
      </rPr>
      <t xml:space="preserve">3 </t>
    </r>
    <r>
      <rPr>
        <b/>
        <sz val="9"/>
        <rFont val="Lucida Handwriting"/>
        <family val="4"/>
      </rPr>
      <t>)</t>
    </r>
  </si>
  <si>
    <r>
      <t>Volume ( juta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)</t>
    </r>
  </si>
  <si>
    <t>Realise</t>
  </si>
  <si>
    <t>m3/dt</t>
  </si>
  <si>
    <t>Volume air habis/TAD</t>
  </si>
  <si>
    <t>2011</t>
  </si>
  <si>
    <t xml:space="preserve">&lt;  84 %             </t>
  </si>
  <si>
    <t>2012</t>
  </si>
  <si>
    <t xml:space="preserve">                         Keterangan :  Data mingguan untuk bulan berjalan.</t>
  </si>
  <si>
    <t>DATA   VOLUME   WADUK   GAJAHMUNGKUR   5  TAHUN.</t>
  </si>
  <si>
    <t>KOSONG</t>
  </si>
  <si>
    <t>2013</t>
  </si>
  <si>
    <t>DATA   VOLUME   WADUK   SE JAWA TENGAH 5 TAHUN</t>
  </si>
  <si>
    <t xml:space="preserve">                                 Wd Grawan dan Wd Panohan masih dalam Proses sertifikasi KKB</t>
  </si>
  <si>
    <t>Kepada  Yth : Direktur Bina Operasi dan Pemeliharaan  Dit Jen SDA Kementrian PU di Jakarta.</t>
  </si>
  <si>
    <t xml:space="preserve">                         Pengolah Data : SUHARTADI telp: 024 - 91182720</t>
  </si>
  <si>
    <t xml:space="preserve">                         Staf Seksi OP Irigasi dan Air Baku  Dinas PSDA Prov Jateng</t>
  </si>
  <si>
    <t xml:space="preserve">                        Dengan alamat email : subdit_op_bendungan@yahoo.co.id</t>
  </si>
  <si>
    <t>Catatan :</t>
  </si>
  <si>
    <t>Perhitungan statistik tidak dilakukan bilamana jumlah data kosong dalam setengah bulan &gt;</t>
  </si>
  <si>
    <t>Tanggal</t>
  </si>
  <si>
    <t>Jan</t>
  </si>
  <si>
    <t>Feb</t>
  </si>
  <si>
    <t>Mar</t>
  </si>
  <si>
    <t>Apr</t>
  </si>
  <si>
    <t>Jun</t>
  </si>
  <si>
    <t>Jul</t>
  </si>
  <si>
    <t>Ags</t>
  </si>
  <si>
    <t>Sep</t>
  </si>
  <si>
    <t>Okt</t>
  </si>
  <si>
    <t>Nop</t>
  </si>
  <si>
    <t>Des</t>
  </si>
  <si>
    <t>May</t>
  </si>
  <si>
    <t>Aug</t>
  </si>
  <si>
    <t>Oct</t>
  </si>
  <si>
    <t>Nov</t>
  </si>
  <si>
    <t>Dec</t>
  </si>
  <si>
    <t>Maximum</t>
  </si>
  <si>
    <t>Rerata bulanan</t>
  </si>
  <si>
    <t>1-15</t>
  </si>
  <si>
    <t>Minimum</t>
  </si>
  <si>
    <t>Data</t>
  </si>
  <si>
    <t>Rerata (1-15)</t>
  </si>
  <si>
    <t>missing</t>
  </si>
  <si>
    <t>Jml.data kosong</t>
  </si>
  <si>
    <t>15-31</t>
  </si>
  <si>
    <t>Rerata (16-31)</t>
  </si>
  <si>
    <t>Annual mean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</si>
  <si>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/s</t>
    </r>
  </si>
  <si>
    <t>mm</t>
  </si>
  <si>
    <t>Max daily</t>
  </si>
  <si>
    <t>Missing days</t>
  </si>
  <si>
    <t>days</t>
  </si>
  <si>
    <t>Limit of missing data for calculation of statistics:</t>
  </si>
  <si>
    <t>days in a half monthly</t>
  </si>
  <si>
    <t>Tampilan grafik debit harian negatif berarti pada tanggal tersebut tidak ada data debit harian</t>
  </si>
  <si>
    <r>
      <t>Volume  Harian  Waduk  se Jawa Tengah  (  Juta  m</t>
    </r>
    <r>
      <rPr>
        <b/>
        <vertAlign val="superscript"/>
        <sz val="16"/>
        <rFont val="Arial"/>
        <family val="2"/>
      </rPr>
      <t>3</t>
    </r>
    <r>
      <rPr>
        <b/>
        <sz val="16"/>
        <rFont val="Arial"/>
        <family val="2"/>
      </rPr>
      <t>)</t>
    </r>
  </si>
  <si>
    <t>Tahun 2013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</si>
  <si>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</si>
  <si>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Kabuyutan</t>
  </si>
  <si>
    <t>Pemali</t>
  </si>
  <si>
    <t>Tuntang</t>
  </si>
  <si>
    <t>Juana</t>
  </si>
  <si>
    <t>Serang</t>
  </si>
  <si>
    <t>Lusi</t>
  </si>
  <si>
    <t>Lodan</t>
  </si>
  <si>
    <t>Sukorejo</t>
  </si>
  <si>
    <t>B. Solo</t>
  </si>
  <si>
    <t>B.solo</t>
  </si>
  <si>
    <t>B. solo</t>
  </si>
  <si>
    <t>b. Solo</t>
  </si>
  <si>
    <t>Bedegolan</t>
  </si>
  <si>
    <t>Serayu</t>
  </si>
  <si>
    <t xml:space="preserve"> DAS</t>
  </si>
  <si>
    <t>Lusi/ limpas</t>
  </si>
  <si>
    <t>MINGGU   KE V  DESEMBER  2013</t>
  </si>
  <si>
    <t>30 Des 2013</t>
  </si>
  <si>
    <t>29 Des 13</t>
  </si>
  <si>
    <t>28 Des 13</t>
  </si>
  <si>
    <t>27 Des 13</t>
  </si>
  <si>
    <t>26 Des 13</t>
  </si>
  <si>
    <t>25 Des 13</t>
  </si>
  <si>
    <t>24 Des 13</t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</si>
</sst>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_(* #,##0.0_);_(* \(#,##0.0\);_(* &quot;-&quot;??_);_(@_)"/>
    <numFmt numFmtId="167" formatCode="#,##0.000;[Red]#,##0.000"/>
    <numFmt numFmtId="168" formatCode="#,##0.00;[Red]#,##0.00"/>
    <numFmt numFmtId="169" formatCode="0.000"/>
    <numFmt numFmtId="170" formatCode="0_)"/>
  </numFmts>
  <fonts count="6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6"/>
      <name val="Lucida Handwriting"/>
      <family val="4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1"/>
      <name val="Tahoma"/>
      <family val="2"/>
    </font>
    <font>
      <sz val="11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b/>
      <sz val="11"/>
      <name val="Arial"/>
      <family val="2"/>
    </font>
    <font>
      <b/>
      <u val="double"/>
      <sz val="14"/>
      <name val="Helv"/>
    </font>
    <font>
      <b/>
      <i/>
      <sz val="8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vertAlign val="superscript"/>
      <sz val="12"/>
      <name val="Lucida Handwriting"/>
      <family val="4"/>
    </font>
    <font>
      <b/>
      <sz val="12"/>
      <name val="Lucida Handwriting"/>
      <family val="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12"/>
      <name val="Arial"/>
      <family val="2"/>
    </font>
    <font>
      <b/>
      <sz val="9"/>
      <name val="Lucida Handwriting"/>
      <family val="4"/>
    </font>
    <font>
      <b/>
      <vertAlign val="superscript"/>
      <sz val="9"/>
      <name val="Lucida Handwriting"/>
      <family val="4"/>
    </font>
    <font>
      <sz val="9"/>
      <name val="Arial"/>
      <family val="2"/>
    </font>
    <font>
      <b/>
      <vertAlign val="superscript"/>
      <sz val="9"/>
      <name val="Arial"/>
      <family val="2"/>
    </font>
    <font>
      <b/>
      <u/>
      <sz val="9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8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b/>
      <vertAlign val="superscript"/>
      <sz val="16"/>
      <name val="Arial"/>
      <family val="2"/>
    </font>
    <font>
      <b/>
      <i/>
      <sz val="12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7" borderId="1" applyNumberFormat="0" applyAlignment="0" applyProtection="0"/>
    <xf numFmtId="0" fontId="33" fillId="20" borderId="2" applyNumberFormat="0" applyAlignment="0" applyProtection="0"/>
    <xf numFmtId="43" fontId="1" fillId="0" borderId="0" applyFont="0" applyFill="0" applyBorder="0" applyProtection="0"/>
    <xf numFmtId="41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7" borderId="1" applyNumberFormat="0" applyAlignment="0" applyProtection="0"/>
    <xf numFmtId="0" fontId="40" fillId="0" borderId="6" applyNumberFormat="0" applyFill="0" applyAlignment="0" applyProtection="0"/>
    <xf numFmtId="0" fontId="41" fillId="21" borderId="0" applyNumberFormat="0" applyBorder="0" applyAlignment="0" applyProtection="0"/>
    <xf numFmtId="0" fontId="11" fillId="22" borderId="7" applyNumberFormat="0" applyFont="0" applyAlignment="0" applyProtection="0"/>
    <xf numFmtId="0" fontId="42" fillId="7" borderId="8" applyNumberFormat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</cellStyleXfs>
  <cellXfs count="621">
    <xf numFmtId="0" fontId="0" fillId="0" borderId="0" xfId="0"/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43" fontId="4" fillId="0" borderId="14" xfId="28" applyFont="1" applyBorder="1"/>
    <xf numFmtId="164" fontId="4" fillId="0" borderId="14" xfId="0" applyNumberFormat="1" applyFont="1" applyBorder="1"/>
    <xf numFmtId="0" fontId="3" fillId="0" borderId="15" xfId="0" applyFont="1" applyBorder="1"/>
    <xf numFmtId="43" fontId="4" fillId="0" borderId="15" xfId="28" applyFont="1" applyBorder="1"/>
    <xf numFmtId="164" fontId="4" fillId="0" borderId="15" xfId="0" applyNumberFormat="1" applyFont="1" applyBorder="1"/>
    <xf numFmtId="43" fontId="4" fillId="0" borderId="15" xfId="28" applyFont="1" applyBorder="1" applyAlignment="1">
      <alignment horizontal="center"/>
    </xf>
    <xf numFmtId="0" fontId="2" fillId="0" borderId="0" xfId="0" applyFont="1"/>
    <xf numFmtId="0" fontId="7" fillId="0" borderId="0" xfId="0" applyFont="1"/>
    <xf numFmtId="43" fontId="4" fillId="0" borderId="14" xfId="28" applyFont="1" applyBorder="1" applyAlignment="1">
      <alignment horizontal="center"/>
    </xf>
    <xf numFmtId="43" fontId="4" fillId="0" borderId="13" xfId="28" applyFont="1" applyBorder="1"/>
    <xf numFmtId="164" fontId="4" fillId="0" borderId="13" xfId="0" applyNumberFormat="1" applyFont="1" applyBorder="1"/>
    <xf numFmtId="164" fontId="4" fillId="0" borderId="14" xfId="28" applyNumberFormat="1" applyFont="1" applyBorder="1"/>
    <xf numFmtId="0" fontId="3" fillId="0" borderId="13" xfId="0" applyFont="1" applyBorder="1"/>
    <xf numFmtId="0" fontId="2" fillId="0" borderId="16" xfId="0" applyFont="1" applyBorder="1"/>
    <xf numFmtId="43" fontId="4" fillId="0" borderId="17" xfId="28" applyFont="1" applyBorder="1"/>
    <xf numFmtId="0" fontId="3" fillId="0" borderId="17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43" fontId="0" fillId="0" borderId="0" xfId="0" applyNumberFormat="1"/>
    <xf numFmtId="164" fontId="3" fillId="0" borderId="17" xfId="0" applyNumberFormat="1" applyFont="1" applyBorder="1"/>
    <xf numFmtId="43" fontId="3" fillId="0" borderId="17" xfId="28" applyFont="1" applyBorder="1"/>
    <xf numFmtId="164" fontId="3" fillId="0" borderId="0" xfId="0" applyNumberFormat="1" applyFont="1"/>
    <xf numFmtId="0" fontId="3" fillId="0" borderId="18" xfId="0" applyFont="1" applyBorder="1"/>
    <xf numFmtId="164" fontId="3" fillId="0" borderId="17" xfId="28" applyNumberFormat="1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7" fillId="0" borderId="16" xfId="0" applyFont="1" applyBorder="1"/>
    <xf numFmtId="0" fontId="3" fillId="0" borderId="17" xfId="0" applyFont="1" applyBorder="1"/>
    <xf numFmtId="0" fontId="3" fillId="0" borderId="21" xfId="0" applyFont="1" applyBorder="1"/>
    <xf numFmtId="43" fontId="4" fillId="0" borderId="15" xfId="28" applyFont="1" applyBorder="1" applyAlignment="1">
      <alignment horizontal="right"/>
    </xf>
    <xf numFmtId="0" fontId="0" fillId="0" borderId="0" xfId="0" quotePrefix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43" fontId="4" fillId="0" borderId="0" xfId="28" applyFont="1" applyBorder="1"/>
    <xf numFmtId="164" fontId="4" fillId="0" borderId="0" xfId="0" applyNumberFormat="1" applyFont="1" applyBorder="1"/>
    <xf numFmtId="164" fontId="3" fillId="0" borderId="0" xfId="28" applyNumberFormat="1" applyFont="1" applyBorder="1"/>
    <xf numFmtId="168" fontId="4" fillId="0" borderId="15" xfId="28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2" fillId="0" borderId="0" xfId="0" applyFont="1"/>
    <xf numFmtId="168" fontId="4" fillId="0" borderId="15" xfId="28" quotePrefix="1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22" xfId="0" applyFont="1" applyBorder="1"/>
    <xf numFmtId="0" fontId="2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7" fillId="0" borderId="22" xfId="0" applyFont="1" applyBorder="1"/>
    <xf numFmtId="43" fontId="3" fillId="0" borderId="24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9" fontId="3" fillId="0" borderId="22" xfId="41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164" fontId="3" fillId="0" borderId="26" xfId="28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quotePrefix="1" applyFont="1" applyAlignment="1">
      <alignment horizontal="center"/>
    </xf>
    <xf numFmtId="0" fontId="16" fillId="0" borderId="0" xfId="0" applyFont="1"/>
    <xf numFmtId="0" fontId="21" fillId="0" borderId="0" xfId="0" applyFont="1"/>
    <xf numFmtId="165" fontId="3" fillId="0" borderId="17" xfId="28" quotePrefix="1" applyNumberFormat="1" applyFont="1" applyBorder="1" applyAlignment="1">
      <alignment horizontal="center"/>
    </xf>
    <xf numFmtId="165" fontId="3" fillId="0" borderId="22" xfId="28" quotePrefix="1" applyNumberFormat="1" applyFont="1" applyBorder="1" applyAlignment="1">
      <alignment horizontal="center"/>
    </xf>
    <xf numFmtId="9" fontId="3" fillId="0" borderId="17" xfId="41" applyNumberFormat="1" applyFont="1" applyBorder="1" applyAlignment="1">
      <alignment horizontal="center"/>
    </xf>
    <xf numFmtId="9" fontId="3" fillId="0" borderId="26" xfId="41" applyNumberFormat="1" applyFont="1" applyBorder="1" applyAlignment="1">
      <alignment horizontal="center"/>
    </xf>
    <xf numFmtId="9" fontId="3" fillId="0" borderId="17" xfId="4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/>
    <xf numFmtId="43" fontId="2" fillId="0" borderId="28" xfId="28" quotePrefix="1" applyFont="1" applyBorder="1" applyAlignment="1"/>
    <xf numFmtId="43" fontId="2" fillId="0" borderId="29" xfId="28" quotePrefix="1" applyFont="1" applyBorder="1" applyAlignment="1"/>
    <xf numFmtId="43" fontId="3" fillId="0" borderId="24" xfId="0" applyNumberFormat="1" applyFont="1" applyBorder="1" applyAlignment="1"/>
    <xf numFmtId="0" fontId="5" fillId="0" borderId="0" xfId="0" applyFont="1"/>
    <xf numFmtId="0" fontId="23" fillId="0" borderId="0" xfId="0" applyFont="1"/>
    <xf numFmtId="0" fontId="24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0" xfId="0" applyBorder="1"/>
    <xf numFmtId="164" fontId="4" fillId="0" borderId="13" xfId="28" applyNumberFormat="1" applyFont="1" applyBorder="1"/>
    <xf numFmtId="43" fontId="4" fillId="0" borderId="13" xfId="0" applyNumberFormat="1" applyFont="1" applyBorder="1"/>
    <xf numFmtId="166" fontId="3" fillId="0" borderId="31" xfId="28" applyNumberFormat="1" applyFont="1" applyBorder="1" applyAlignment="1" applyProtection="1">
      <alignment horizontal="center"/>
    </xf>
    <xf numFmtId="166" fontId="3" fillId="0" borderId="32" xfId="28" applyNumberFormat="1" applyFont="1" applyBorder="1" applyAlignment="1" applyProtection="1">
      <alignment horizontal="center"/>
    </xf>
    <xf numFmtId="166" fontId="3" fillId="0" borderId="33" xfId="28" applyNumberFormat="1" applyFont="1" applyBorder="1" applyAlignment="1" applyProtection="1">
      <alignment horizontal="center"/>
    </xf>
    <xf numFmtId="166" fontId="3" fillId="0" borderId="34" xfId="28" applyNumberFormat="1" applyFont="1" applyBorder="1" applyAlignment="1" applyProtection="1">
      <alignment horizontal="center"/>
    </xf>
    <xf numFmtId="0" fontId="2" fillId="0" borderId="35" xfId="0" applyFont="1" applyBorder="1" applyAlignment="1">
      <alignment horizontal="center"/>
    </xf>
    <xf numFmtId="164" fontId="3" fillId="0" borderId="36" xfId="28" applyNumberFormat="1" applyFont="1" applyBorder="1" applyProtection="1"/>
    <xf numFmtId="164" fontId="3" fillId="0" borderId="37" xfId="28" applyNumberFormat="1" applyFont="1" applyBorder="1" applyProtection="1"/>
    <xf numFmtId="164" fontId="3" fillId="0" borderId="38" xfId="28" applyNumberFormat="1" applyFont="1" applyBorder="1"/>
    <xf numFmtId="0" fontId="4" fillId="0" borderId="0" xfId="0" applyFont="1" applyBorder="1" applyAlignment="1" applyProtection="1">
      <alignment horizontal="center"/>
    </xf>
    <xf numFmtId="165" fontId="3" fillId="0" borderId="0" xfId="28" quotePrefix="1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/>
    </xf>
    <xf numFmtId="164" fontId="4" fillId="0" borderId="0" xfId="28" applyNumberFormat="1" applyFont="1" applyBorder="1" applyProtection="1"/>
    <xf numFmtId="169" fontId="0" fillId="0" borderId="0" xfId="0" applyNumberFormat="1" applyBorder="1" applyAlignment="1" applyProtection="1">
      <alignment horizontal="center"/>
    </xf>
    <xf numFmtId="164" fontId="4" fillId="0" borderId="0" xfId="28" applyNumberFormat="1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4" fontId="4" fillId="0" borderId="0" xfId="28" applyNumberFormat="1" applyFont="1" applyBorder="1"/>
    <xf numFmtId="166" fontId="3" fillId="0" borderId="31" xfId="28" applyNumberFormat="1" applyFont="1" applyBorder="1" applyAlignment="1" applyProtection="1">
      <alignment horizontal="center" vertical="center"/>
    </xf>
    <xf numFmtId="165" fontId="3" fillId="0" borderId="39" xfId="28" quotePrefix="1" applyNumberFormat="1" applyFont="1" applyBorder="1" applyAlignment="1" applyProtection="1">
      <alignment horizontal="center" vertical="center"/>
    </xf>
    <xf numFmtId="170" fontId="15" fillId="0" borderId="39" xfId="0" applyNumberFormat="1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/>
    </xf>
    <xf numFmtId="0" fontId="15" fillId="0" borderId="33" xfId="0" applyFont="1" applyBorder="1" applyAlignment="1" applyProtection="1">
      <alignment horizontal="center"/>
    </xf>
    <xf numFmtId="0" fontId="15" fillId="0" borderId="34" xfId="0" applyFont="1" applyBorder="1" applyAlignment="1" applyProtection="1">
      <alignment horizontal="center"/>
    </xf>
    <xf numFmtId="164" fontId="3" fillId="0" borderId="36" xfId="28" applyNumberFormat="1" applyFont="1" applyBorder="1" applyAlignment="1" applyProtection="1">
      <alignment horizontal="center"/>
    </xf>
    <xf numFmtId="164" fontId="3" fillId="0" borderId="37" xfId="28" applyNumberFormat="1" applyFont="1" applyBorder="1" applyAlignment="1" applyProtection="1">
      <alignment horizontal="center"/>
    </xf>
    <xf numFmtId="41" fontId="4" fillId="0" borderId="14" xfId="29" applyNumberFormat="1" applyFont="1" applyBorder="1"/>
    <xf numFmtId="41" fontId="4" fillId="0" borderId="15" xfId="29" applyNumberFormat="1" applyFont="1" applyBorder="1"/>
    <xf numFmtId="41" fontId="4" fillId="0" borderId="15" xfId="29" applyFont="1" applyBorder="1"/>
    <xf numFmtId="41" fontId="4" fillId="0" borderId="15" xfId="29" quotePrefix="1" applyFont="1" applyBorder="1" applyAlignment="1">
      <alignment horizontal="center"/>
    </xf>
    <xf numFmtId="41" fontId="4" fillId="0" borderId="15" xfId="29" applyFont="1" applyBorder="1" applyAlignment="1">
      <alignment horizontal="center"/>
    </xf>
    <xf numFmtId="41" fontId="4" fillId="0" borderId="13" xfId="29" applyFont="1" applyBorder="1"/>
    <xf numFmtId="0" fontId="3" fillId="0" borderId="0" xfId="0" applyFont="1" applyBorder="1"/>
    <xf numFmtId="41" fontId="4" fillId="0" borderId="0" xfId="29" applyNumberFormat="1" applyFont="1" applyBorder="1"/>
    <xf numFmtId="41" fontId="4" fillId="0" borderId="0" xfId="29" applyFont="1" applyBorder="1"/>
    <xf numFmtId="41" fontId="3" fillId="0" borderId="0" xfId="0" applyNumberFormat="1" applyFont="1" applyBorder="1"/>
    <xf numFmtId="41" fontId="3" fillId="0" borderId="0" xfId="29" applyFont="1" applyBorder="1"/>
    <xf numFmtId="41" fontId="4" fillId="0" borderId="0" xfId="29" quotePrefix="1" applyFont="1" applyBorder="1" applyAlignment="1">
      <alignment horizontal="center"/>
    </xf>
    <xf numFmtId="41" fontId="4" fillId="0" borderId="0" xfId="29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164" fontId="4" fillId="0" borderId="41" xfId="28" applyNumberFormat="1" applyFont="1" applyBorder="1" applyProtection="1"/>
    <xf numFmtId="0" fontId="4" fillId="0" borderId="0" xfId="0" applyFont="1" applyFill="1" applyBorder="1"/>
    <xf numFmtId="164" fontId="4" fillId="0" borderId="42" xfId="28" applyNumberFormat="1" applyFont="1" applyBorder="1" applyProtection="1"/>
    <xf numFmtId="164" fontId="4" fillId="0" borderId="36" xfId="28" applyNumberFormat="1" applyFont="1" applyBorder="1" applyProtection="1"/>
    <xf numFmtId="164" fontId="4" fillId="0" borderId="37" xfId="28" applyNumberFormat="1" applyFont="1" applyBorder="1" applyProtection="1"/>
    <xf numFmtId="164" fontId="4" fillId="0" borderId="38" xfId="28" applyNumberFormat="1" applyFont="1" applyBorder="1"/>
    <xf numFmtId="165" fontId="15" fillId="0" borderId="39" xfId="28" quotePrefix="1" applyNumberFormat="1" applyFont="1" applyBorder="1" applyAlignment="1" applyProtection="1">
      <alignment horizontal="center" vertical="center"/>
    </xf>
    <xf numFmtId="166" fontId="3" fillId="0" borderId="0" xfId="28" applyNumberFormat="1" applyFont="1" applyBorder="1" applyAlignment="1" applyProtection="1">
      <alignment horizontal="center"/>
    </xf>
    <xf numFmtId="164" fontId="5" fillId="0" borderId="0" xfId="0" quotePrefix="1" applyNumberFormat="1" applyFont="1" applyBorder="1"/>
    <xf numFmtId="164" fontId="2" fillId="0" borderId="0" xfId="0" quotePrefix="1" applyNumberFormat="1" applyFont="1" applyBorder="1"/>
    <xf numFmtId="0" fontId="3" fillId="0" borderId="32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0" fontId="26" fillId="0" borderId="0" xfId="0" applyFont="1"/>
    <xf numFmtId="0" fontId="2" fillId="23" borderId="35" xfId="0" applyFont="1" applyFill="1" applyBorder="1"/>
    <xf numFmtId="0" fontId="3" fillId="23" borderId="14" xfId="0" applyFont="1" applyFill="1" applyBorder="1"/>
    <xf numFmtId="43" fontId="4" fillId="23" borderId="14" xfId="28" applyFont="1" applyFill="1" applyBorder="1"/>
    <xf numFmtId="0" fontId="2" fillId="23" borderId="20" xfId="0" applyFont="1" applyFill="1" applyBorder="1"/>
    <xf numFmtId="0" fontId="3" fillId="23" borderId="15" xfId="0" applyFont="1" applyFill="1" applyBorder="1"/>
    <xf numFmtId="43" fontId="4" fillId="23" borderId="15" xfId="28" applyFont="1" applyFill="1" applyBorder="1"/>
    <xf numFmtId="164" fontId="4" fillId="23" borderId="15" xfId="0" applyNumberFormat="1" applyFont="1" applyFill="1" applyBorder="1"/>
    <xf numFmtId="168" fontId="4" fillId="23" borderId="15" xfId="28" applyNumberFormat="1" applyFont="1" applyFill="1" applyBorder="1" applyAlignment="1">
      <alignment horizontal="right"/>
    </xf>
    <xf numFmtId="43" fontId="4" fillId="23" borderId="15" xfId="28" applyFont="1" applyFill="1" applyBorder="1" applyAlignment="1">
      <alignment horizontal="center"/>
    </xf>
    <xf numFmtId="167" fontId="4" fillId="23" borderId="15" xfId="28" applyNumberFormat="1" applyFont="1" applyFill="1" applyBorder="1" applyAlignment="1">
      <alignment horizontal="right"/>
    </xf>
    <xf numFmtId="164" fontId="4" fillId="23" borderId="15" xfId="28" applyNumberFormat="1" applyFont="1" applyFill="1" applyBorder="1"/>
    <xf numFmtId="164" fontId="4" fillId="23" borderId="15" xfId="28" applyNumberFormat="1" applyFont="1" applyFill="1" applyBorder="1" applyAlignment="1">
      <alignment horizontal="center"/>
    </xf>
    <xf numFmtId="0" fontId="2" fillId="23" borderId="10" xfId="0" applyFont="1" applyFill="1" applyBorder="1"/>
    <xf numFmtId="0" fontId="3" fillId="23" borderId="21" xfId="0" applyFont="1" applyFill="1" applyBorder="1"/>
    <xf numFmtId="43" fontId="4" fillId="23" borderId="21" xfId="28" applyFont="1" applyFill="1" applyBorder="1"/>
    <xf numFmtId="164" fontId="4" fillId="23" borderId="21" xfId="0" applyNumberFormat="1" applyFont="1" applyFill="1" applyBorder="1"/>
    <xf numFmtId="0" fontId="2" fillId="23" borderId="16" xfId="0" applyFont="1" applyFill="1" applyBorder="1"/>
    <xf numFmtId="0" fontId="3" fillId="23" borderId="17" xfId="0" applyFont="1" applyFill="1" applyBorder="1" applyAlignment="1">
      <alignment horizontal="center"/>
    </xf>
    <xf numFmtId="43" fontId="4" fillId="23" borderId="17" xfId="28" applyFont="1" applyFill="1" applyBorder="1"/>
    <xf numFmtId="164" fontId="3" fillId="23" borderId="17" xfId="0" applyNumberFormat="1" applyFont="1" applyFill="1" applyBorder="1"/>
    <xf numFmtId="164" fontId="3" fillId="23" borderId="24" xfId="0" applyNumberFormat="1" applyFont="1" applyFill="1" applyBorder="1" applyAlignment="1">
      <alignment horizontal="center"/>
    </xf>
    <xf numFmtId="0" fontId="7" fillId="23" borderId="16" xfId="0" applyFont="1" applyFill="1" applyBorder="1"/>
    <xf numFmtId="9" fontId="3" fillId="23" borderId="26" xfId="41" applyNumberFormat="1" applyFont="1" applyFill="1" applyBorder="1" applyAlignment="1">
      <alignment horizontal="center"/>
    </xf>
    <xf numFmtId="0" fontId="7" fillId="23" borderId="0" xfId="0" applyFont="1" applyFill="1"/>
    <xf numFmtId="0" fontId="0" fillId="23" borderId="0" xfId="0" applyFill="1"/>
    <xf numFmtId="9" fontId="25" fillId="23" borderId="0" xfId="41" applyFont="1" applyFill="1" applyAlignment="1">
      <alignment horizontal="center"/>
    </xf>
    <xf numFmtId="43" fontId="0" fillId="23" borderId="0" xfId="0" applyNumberFormat="1" applyFill="1"/>
    <xf numFmtId="164" fontId="3" fillId="23" borderId="0" xfId="0" applyNumberFormat="1" applyFont="1" applyFill="1" applyAlignment="1">
      <alignment horizontal="right"/>
    </xf>
    <xf numFmtId="0" fontId="8" fillId="23" borderId="0" xfId="0" applyFont="1" applyFill="1" applyBorder="1" applyAlignment="1">
      <alignment horizontal="center"/>
    </xf>
    <xf numFmtId="0" fontId="0" fillId="23" borderId="0" xfId="0" applyFill="1" applyBorder="1"/>
    <xf numFmtId="165" fontId="25" fillId="0" borderId="43" xfId="28" applyNumberFormat="1" applyFont="1" applyBorder="1"/>
    <xf numFmtId="165" fontId="25" fillId="0" borderId="24" xfId="0" applyNumberFormat="1" applyFont="1" applyBorder="1"/>
    <xf numFmtId="166" fontId="2" fillId="0" borderId="44" xfId="28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3" fillId="0" borderId="24" xfId="0" applyNumberFormat="1" applyFont="1" applyBorder="1" applyAlignment="1">
      <alignment horizontal="center"/>
    </xf>
    <xf numFmtId="165" fontId="0" fillId="0" borderId="0" xfId="28" applyNumberFormat="1" applyFont="1"/>
    <xf numFmtId="165" fontId="0" fillId="0" borderId="0" xfId="0" applyNumberFormat="1"/>
    <xf numFmtId="9" fontId="20" fillId="0" borderId="0" xfId="0" applyNumberFormat="1" applyFont="1" applyAlignment="1">
      <alignment horizontal="left"/>
    </xf>
    <xf numFmtId="0" fontId="0" fillId="23" borderId="0" xfId="0" applyFill="1" applyAlignment="1">
      <alignment horizontal="center"/>
    </xf>
    <xf numFmtId="164" fontId="3" fillId="23" borderId="0" xfId="0" applyNumberFormat="1" applyFont="1" applyFill="1" applyAlignment="1">
      <alignment horizontal="center"/>
    </xf>
    <xf numFmtId="0" fontId="25" fillId="0" borderId="0" xfId="0" applyFont="1"/>
    <xf numFmtId="164" fontId="3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15" fillId="0" borderId="0" xfId="0" applyFont="1" applyBorder="1" applyAlignment="1" applyProtection="1">
      <alignment horizontal="center" vertical="center"/>
    </xf>
    <xf numFmtId="170" fontId="15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/>
    </xf>
    <xf numFmtId="169" fontId="3" fillId="0" borderId="0" xfId="0" applyNumberFormat="1" applyFont="1" applyBorder="1" applyAlignment="1" applyProtection="1">
      <alignment horizontal="center"/>
    </xf>
    <xf numFmtId="169" fontId="3" fillId="0" borderId="0" xfId="0" applyNumberFormat="1" applyFont="1" applyBorder="1" applyAlignment="1">
      <alignment horizontal="center"/>
    </xf>
    <xf numFmtId="169" fontId="46" fillId="23" borderId="0" xfId="0" applyNumberFormat="1" applyFont="1" applyFill="1" applyBorder="1" applyAlignment="1" applyProtection="1">
      <alignment horizontal="center"/>
    </xf>
    <xf numFmtId="0" fontId="0" fillId="0" borderId="45" xfId="0" applyBorder="1"/>
    <xf numFmtId="43" fontId="3" fillId="0" borderId="23" xfId="28" applyFont="1" applyBorder="1" applyAlignment="1">
      <alignment horizontal="center"/>
    </xf>
    <xf numFmtId="43" fontId="12" fillId="0" borderId="30" xfId="28" applyFont="1" applyBorder="1" applyAlignment="1">
      <alignment horizontal="center"/>
    </xf>
    <xf numFmtId="43" fontId="3" fillId="0" borderId="15" xfId="28" applyFont="1" applyBorder="1" applyAlignment="1">
      <alignment horizontal="center"/>
    </xf>
    <xf numFmtId="43" fontId="2" fillId="0" borderId="23" xfId="28" quotePrefix="1" applyFont="1" applyBorder="1" applyAlignment="1">
      <alignment vertical="center"/>
    </xf>
    <xf numFmtId="43" fontId="2" fillId="0" borderId="46" xfId="28" quotePrefix="1" applyFont="1" applyBorder="1" applyAlignment="1">
      <alignment vertical="center"/>
    </xf>
    <xf numFmtId="43" fontId="2" fillId="0" borderId="28" xfId="28" quotePrefix="1" applyFont="1" applyBorder="1" applyAlignment="1">
      <alignment vertical="center"/>
    </xf>
    <xf numFmtId="43" fontId="2" fillId="0" borderId="47" xfId="28" quotePrefix="1" applyFont="1" applyBorder="1" applyAlignment="1">
      <alignment vertical="center"/>
    </xf>
    <xf numFmtId="43" fontId="2" fillId="0" borderId="30" xfId="28" quotePrefix="1" applyFont="1" applyBorder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Fill="1" applyBorder="1"/>
    <xf numFmtId="0" fontId="5" fillId="23" borderId="0" xfId="0" applyFont="1" applyFill="1"/>
    <xf numFmtId="0" fontId="3" fillId="23" borderId="0" xfId="0" applyFont="1" applyFill="1"/>
    <xf numFmtId="0" fontId="2" fillId="23" borderId="0" xfId="0" applyFont="1" applyFill="1"/>
    <xf numFmtId="164" fontId="5" fillId="23" borderId="0" xfId="0" applyNumberFormat="1" applyFont="1" applyFill="1" applyBorder="1" applyAlignment="1">
      <alignment horizontal="center"/>
    </xf>
    <xf numFmtId="165" fontId="12" fillId="0" borderId="39" xfId="28" quotePrefix="1" applyNumberFormat="1" applyFont="1" applyBorder="1" applyAlignment="1" applyProtection="1">
      <alignment horizontal="center"/>
    </xf>
    <xf numFmtId="166" fontId="12" fillId="0" borderId="31" xfId="28" applyNumberFormat="1" applyFont="1" applyBorder="1" applyAlignment="1" applyProtection="1">
      <alignment horizontal="center"/>
    </xf>
    <xf numFmtId="166" fontId="4" fillId="0" borderId="32" xfId="28" applyNumberFormat="1" applyFont="1" applyBorder="1" applyAlignment="1" applyProtection="1">
      <alignment horizontal="center"/>
    </xf>
    <xf numFmtId="166" fontId="4" fillId="0" borderId="33" xfId="28" applyNumberFormat="1" applyFont="1" applyBorder="1" applyAlignment="1" applyProtection="1">
      <alignment horizontal="center"/>
    </xf>
    <xf numFmtId="166" fontId="4" fillId="0" borderId="34" xfId="28" applyNumberFormat="1" applyFont="1" applyBorder="1" applyAlignment="1" applyProtection="1">
      <alignment horizontal="center"/>
    </xf>
    <xf numFmtId="165" fontId="12" fillId="0" borderId="39" xfId="28" quotePrefix="1" applyNumberFormat="1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/>
    </xf>
    <xf numFmtId="170" fontId="12" fillId="0" borderId="39" xfId="0" applyNumberFormat="1" applyFont="1" applyBorder="1" applyAlignment="1" applyProtection="1">
      <alignment horizontal="center"/>
    </xf>
    <xf numFmtId="169" fontId="3" fillId="0" borderId="36" xfId="0" applyNumberFormat="1" applyFont="1" applyBorder="1" applyProtection="1"/>
    <xf numFmtId="169" fontId="3" fillId="0" borderId="37" xfId="0" applyNumberFormat="1" applyFont="1" applyBorder="1" applyProtection="1"/>
    <xf numFmtId="169" fontId="3" fillId="0" borderId="48" xfId="0" applyNumberFormat="1" applyFont="1" applyBorder="1" applyProtection="1"/>
    <xf numFmtId="169" fontId="3" fillId="0" borderId="49" xfId="0" applyNumberFormat="1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0" fillId="0" borderId="5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22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2" fillId="0" borderId="51" xfId="0" applyFont="1" applyBorder="1" applyAlignment="1">
      <alignment horizontal="centerContinuous" vertical="center"/>
    </xf>
    <xf numFmtId="0" fontId="2" fillId="0" borderId="52" xfId="0" applyFont="1" applyBorder="1" applyAlignment="1">
      <alignment horizontal="centerContinuous" vertical="center"/>
    </xf>
    <xf numFmtId="0" fontId="2" fillId="0" borderId="53" xfId="0" applyFont="1" applyBorder="1" applyAlignment="1">
      <alignment horizontal="centerContinuous" vertical="center"/>
    </xf>
    <xf numFmtId="0" fontId="3" fillId="0" borderId="54" xfId="0" applyFont="1" applyBorder="1" applyAlignment="1">
      <alignment horizontal="centerContinuous" vertical="center"/>
    </xf>
    <xf numFmtId="0" fontId="3" fillId="0" borderId="55" xfId="0" applyFont="1" applyBorder="1" applyAlignment="1">
      <alignment horizontal="centerContinuous" vertical="center"/>
    </xf>
    <xf numFmtId="0" fontId="0" fillId="0" borderId="56" xfId="0" applyBorder="1" applyAlignment="1">
      <alignment horizontal="centerContinuous" vertical="center"/>
    </xf>
    <xf numFmtId="0" fontId="3" fillId="0" borderId="57" xfId="0" applyFont="1" applyBorder="1" applyAlignment="1">
      <alignment horizontal="centerContinuous" vertical="center"/>
    </xf>
    <xf numFmtId="0" fontId="0" fillId="0" borderId="58" xfId="0" applyBorder="1" applyAlignment="1">
      <alignment horizontal="centerContinuous" vertical="center"/>
    </xf>
    <xf numFmtId="0" fontId="22" fillId="0" borderId="0" xfId="0" applyFont="1" applyBorder="1" applyAlignment="1" applyProtection="1">
      <alignment horizontal="centerContinuous"/>
    </xf>
    <xf numFmtId="0" fontId="0" fillId="23" borderId="0" xfId="0" applyFill="1" applyBorder="1" applyAlignment="1">
      <alignment horizontal="centerContinuous" vertical="center"/>
    </xf>
    <xf numFmtId="0" fontId="8" fillId="23" borderId="0" xfId="0" applyFont="1" applyFill="1" applyBorder="1" applyAlignment="1">
      <alignment horizontal="centerContinuous" vertical="center"/>
    </xf>
    <xf numFmtId="0" fontId="8" fillId="23" borderId="0" xfId="0" applyFont="1" applyFill="1" applyBorder="1" applyAlignment="1">
      <alignment horizontal="centerContinuous"/>
    </xf>
    <xf numFmtId="0" fontId="0" fillId="0" borderId="40" xfId="0" applyBorder="1" applyAlignment="1">
      <alignment horizontal="centerContinuous" vertical="center"/>
    </xf>
    <xf numFmtId="0" fontId="3" fillId="0" borderId="56" xfId="0" applyFont="1" applyBorder="1" applyAlignment="1">
      <alignment horizontal="centerContinuous" vertical="center"/>
    </xf>
    <xf numFmtId="0" fontId="0" fillId="0" borderId="52" xfId="0" applyBorder="1" applyAlignment="1">
      <alignment horizontal="centerContinuous" vertical="center"/>
    </xf>
    <xf numFmtId="0" fontId="3" fillId="0" borderId="22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0" fillId="0" borderId="29" xfId="0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48" fillId="0" borderId="0" xfId="0" applyFont="1"/>
    <xf numFmtId="0" fontId="5" fillId="0" borderId="2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22" xfId="0" applyFont="1" applyBorder="1" applyAlignment="1">
      <alignment horizontal="centerContinuous" vertic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/>
    <xf numFmtId="0" fontId="52" fillId="0" borderId="0" xfId="0" applyFont="1"/>
    <xf numFmtId="0" fontId="9" fillId="0" borderId="51" xfId="0" applyFont="1" applyBorder="1" applyAlignment="1">
      <alignment horizontal="centerContinuous" vertical="center"/>
    </xf>
    <xf numFmtId="0" fontId="9" fillId="0" borderId="54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9" fillId="0" borderId="56" xfId="0" applyFont="1" applyBorder="1" applyAlignment="1">
      <alignment horizontal="centerContinuous" vertical="center"/>
    </xf>
    <xf numFmtId="0" fontId="9" fillId="0" borderId="60" xfId="0" applyFont="1" applyBorder="1" applyAlignment="1">
      <alignment horizontal="center"/>
    </xf>
    <xf numFmtId="0" fontId="52" fillId="0" borderId="52" xfId="0" applyFont="1" applyBorder="1" applyAlignment="1">
      <alignment horizontal="centerContinuous" vertical="center"/>
    </xf>
    <xf numFmtId="0" fontId="52" fillId="0" borderId="11" xfId="0" applyFont="1" applyBorder="1" applyAlignment="1">
      <alignment horizontal="centerContinuous" vertical="center"/>
    </xf>
    <xf numFmtId="0" fontId="9" fillId="0" borderId="12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8" xfId="0" applyFont="1" applyBorder="1"/>
    <xf numFmtId="165" fontId="6" fillId="0" borderId="47" xfId="28" applyNumberFormat="1" applyFont="1" applyBorder="1"/>
    <xf numFmtId="43" fontId="6" fillId="0" borderId="18" xfId="28" applyFont="1" applyBorder="1" applyAlignment="1">
      <alignment horizontal="center"/>
    </xf>
    <xf numFmtId="43" fontId="6" fillId="0" borderId="18" xfId="28" applyNumberFormat="1" applyFont="1" applyBorder="1"/>
    <xf numFmtId="164" fontId="6" fillId="0" borderId="18" xfId="28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/>
    <xf numFmtId="165" fontId="6" fillId="0" borderId="28" xfId="28" applyNumberFormat="1" applyFont="1" applyBorder="1"/>
    <xf numFmtId="43" fontId="6" fillId="0" borderId="15" xfId="28" applyFont="1" applyBorder="1"/>
    <xf numFmtId="43" fontId="6" fillId="0" borderId="15" xfId="0" applyNumberFormat="1" applyFont="1" applyBorder="1"/>
    <xf numFmtId="164" fontId="6" fillId="0" borderId="15" xfId="28" applyNumberFormat="1" applyFont="1" applyBorder="1"/>
    <xf numFmtId="164" fontId="6" fillId="0" borderId="15" xfId="0" applyNumberFormat="1" applyFont="1" applyBorder="1"/>
    <xf numFmtId="43" fontId="6" fillId="0" borderId="15" xfId="28" applyNumberFormat="1" applyFont="1" applyBorder="1"/>
    <xf numFmtId="164" fontId="6" fillId="0" borderId="15" xfId="28" applyNumberFormat="1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13" xfId="0" applyFont="1" applyBorder="1"/>
    <xf numFmtId="165" fontId="6" fillId="0" borderId="46" xfId="28" applyNumberFormat="1" applyFont="1" applyBorder="1"/>
    <xf numFmtId="43" fontId="6" fillId="0" borderId="13" xfId="28" applyFont="1" applyBorder="1"/>
    <xf numFmtId="43" fontId="6" fillId="0" borderId="13" xfId="0" applyNumberFormat="1" applyFont="1" applyBorder="1"/>
    <xf numFmtId="164" fontId="6" fillId="0" borderId="13" xfId="28" applyNumberFormat="1" applyFont="1" applyBorder="1"/>
    <xf numFmtId="164" fontId="6" fillId="0" borderId="13" xfId="0" applyNumberFormat="1" applyFont="1" applyBorder="1"/>
    <xf numFmtId="0" fontId="9" fillId="0" borderId="16" xfId="0" applyFont="1" applyBorder="1"/>
    <xf numFmtId="165" fontId="6" fillId="0" borderId="22" xfId="28" applyNumberFormat="1" applyFont="1" applyBorder="1"/>
    <xf numFmtId="43" fontId="6" fillId="0" borderId="17" xfId="28" applyFont="1" applyBorder="1"/>
    <xf numFmtId="164" fontId="9" fillId="0" borderId="17" xfId="28" applyNumberFormat="1" applyFont="1" applyBorder="1"/>
    <xf numFmtId="43" fontId="9" fillId="0" borderId="24" xfId="0" applyNumberFormat="1" applyFont="1" applyBorder="1" applyAlignment="1"/>
    <xf numFmtId="165" fontId="9" fillId="0" borderId="17" xfId="28" quotePrefix="1" applyNumberFormat="1" applyFont="1" applyBorder="1" applyAlignment="1">
      <alignment horizont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56" fillId="0" borderId="0" xfId="0" quotePrefix="1" applyFont="1" applyAlignment="1">
      <alignment horizontal="center"/>
    </xf>
    <xf numFmtId="0" fontId="9" fillId="0" borderId="0" xfId="0" applyFont="1"/>
    <xf numFmtId="9" fontId="56" fillId="0" borderId="0" xfId="0" applyNumberFormat="1" applyFont="1" applyAlignment="1">
      <alignment horizontal="left"/>
    </xf>
    <xf numFmtId="0" fontId="9" fillId="0" borderId="59" xfId="0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165" fontId="9" fillId="0" borderId="28" xfId="28" quotePrefix="1" applyNumberFormat="1" applyFont="1" applyBorder="1" applyAlignment="1"/>
    <xf numFmtId="165" fontId="9" fillId="0" borderId="28" xfId="0" applyNumberFormat="1" applyFont="1" applyBorder="1" applyAlignment="1"/>
    <xf numFmtId="165" fontId="9" fillId="0" borderId="63" xfId="41" applyNumberFormat="1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3" fontId="9" fillId="0" borderId="60" xfId="28" quotePrefix="1" applyNumberFormat="1" applyFont="1" applyBorder="1" applyAlignment="1">
      <alignment horizontal="center" vertical="center"/>
    </xf>
    <xf numFmtId="43" fontId="9" fillId="0" borderId="25" xfId="28" quotePrefix="1" applyFont="1" applyBorder="1" applyAlignment="1"/>
    <xf numFmtId="43" fontId="9" fillId="0" borderId="44" xfId="28" quotePrefix="1" applyFont="1" applyBorder="1" applyAlignment="1"/>
    <xf numFmtId="9" fontId="9" fillId="0" borderId="24" xfId="41" applyNumberFormat="1" applyFont="1" applyBorder="1" applyAlignment="1">
      <alignment horizontal="center"/>
    </xf>
    <xf numFmtId="9" fontId="9" fillId="0" borderId="16" xfId="41" applyNumberFormat="1" applyFont="1" applyBorder="1" applyAlignment="1">
      <alignment horizontal="center"/>
    </xf>
    <xf numFmtId="43" fontId="9" fillId="0" borderId="28" xfId="28" quotePrefix="1" applyFont="1" applyBorder="1"/>
    <xf numFmtId="43" fontId="9" fillId="0" borderId="47" xfId="28" quotePrefix="1" applyFont="1" applyBorder="1"/>
    <xf numFmtId="164" fontId="4" fillId="23" borderId="25" xfId="0" quotePrefix="1" applyNumberFormat="1" applyFont="1" applyFill="1" applyBorder="1" applyAlignment="1">
      <alignment horizontal="center"/>
    </xf>
    <xf numFmtId="164" fontId="3" fillId="25" borderId="37" xfId="28" applyNumberFormat="1" applyFont="1" applyFill="1" applyBorder="1" applyAlignment="1" applyProtection="1">
      <alignment horizontal="center"/>
    </xf>
    <xf numFmtId="164" fontId="3" fillId="26" borderId="37" xfId="28" applyNumberFormat="1" applyFont="1" applyFill="1" applyBorder="1" applyProtection="1"/>
    <xf numFmtId="164" fontId="4" fillId="23" borderId="25" xfId="0" applyNumberFormat="1" applyFont="1" applyFill="1" applyBorder="1" applyAlignment="1">
      <alignment horizontal="center"/>
    </xf>
    <xf numFmtId="169" fontId="3" fillId="0" borderId="64" xfId="0" applyNumberFormat="1" applyFont="1" applyBorder="1" applyAlignment="1" applyProtection="1">
      <alignment horizontal="center"/>
    </xf>
    <xf numFmtId="169" fontId="3" fillId="0" borderId="65" xfId="0" applyNumberFormat="1" applyFont="1" applyBorder="1" applyAlignment="1" applyProtection="1">
      <alignment horizontal="center"/>
    </xf>
    <xf numFmtId="170" fontId="15" fillId="0" borderId="66" xfId="0" applyNumberFormat="1" applyFont="1" applyBorder="1" applyAlignment="1" applyProtection="1">
      <alignment horizontal="center" vertical="center"/>
    </xf>
    <xf numFmtId="170" fontId="15" fillId="0" borderId="67" xfId="0" applyNumberFormat="1" applyFont="1" applyBorder="1" applyAlignment="1" applyProtection="1">
      <alignment horizontal="center" vertical="center"/>
    </xf>
    <xf numFmtId="170" fontId="15" fillId="0" borderId="22" xfId="0" applyNumberFormat="1" applyFont="1" applyBorder="1" applyAlignment="1" applyProtection="1">
      <alignment horizontal="center" vertical="center"/>
    </xf>
    <xf numFmtId="169" fontId="3" fillId="0" borderId="68" xfId="0" applyNumberFormat="1" applyFont="1" applyBorder="1" applyAlignment="1">
      <alignment horizontal="center"/>
    </xf>
    <xf numFmtId="169" fontId="3" fillId="0" borderId="23" xfId="0" applyNumberFormat="1" applyFont="1" applyBorder="1" applyAlignment="1" applyProtection="1">
      <alignment horizontal="center"/>
    </xf>
    <xf numFmtId="169" fontId="3" fillId="0" borderId="69" xfId="0" applyNumberFormat="1" applyFont="1" applyBorder="1" applyAlignment="1" applyProtection="1">
      <alignment horizontal="center"/>
    </xf>
    <xf numFmtId="169" fontId="3" fillId="0" borderId="70" xfId="0" applyNumberFormat="1" applyFont="1" applyBorder="1" applyAlignment="1" applyProtection="1">
      <alignment horizontal="center"/>
    </xf>
    <xf numFmtId="169" fontId="3" fillId="0" borderId="71" xfId="0" applyNumberFormat="1" applyFont="1" applyBorder="1" applyAlignment="1">
      <alignment horizontal="center"/>
    </xf>
    <xf numFmtId="169" fontId="3" fillId="0" borderId="72" xfId="0" applyNumberFormat="1" applyFont="1" applyBorder="1" applyAlignment="1" applyProtection="1">
      <alignment horizontal="center"/>
    </xf>
    <xf numFmtId="169" fontId="3" fillId="0" borderId="73" xfId="0" applyNumberFormat="1" applyFont="1" applyBorder="1" applyAlignment="1" applyProtection="1">
      <alignment horizontal="center"/>
    </xf>
    <xf numFmtId="169" fontId="3" fillId="0" borderId="30" xfId="0" applyNumberFormat="1" applyFont="1" applyBorder="1" applyAlignment="1" applyProtection="1">
      <alignment horizontal="center"/>
    </xf>
    <xf numFmtId="164" fontId="4" fillId="0" borderId="65" xfId="28" applyNumberFormat="1" applyFont="1" applyBorder="1" applyProtection="1"/>
    <xf numFmtId="164" fontId="4" fillId="0" borderId="64" xfId="28" applyNumberFormat="1" applyFont="1" applyBorder="1" applyProtection="1"/>
    <xf numFmtId="164" fontId="4" fillId="0" borderId="68" xfId="28" applyNumberFormat="1" applyFont="1" applyBorder="1"/>
    <xf numFmtId="165" fontId="12" fillId="0" borderId="67" xfId="28" quotePrefix="1" applyNumberFormat="1" applyFont="1" applyBorder="1" applyAlignment="1" applyProtection="1">
      <alignment horizontal="center"/>
    </xf>
    <xf numFmtId="164" fontId="3" fillId="0" borderId="65" xfId="28" applyNumberFormat="1" applyFont="1" applyBorder="1" applyAlignment="1" applyProtection="1">
      <alignment horizontal="center"/>
    </xf>
    <xf numFmtId="164" fontId="3" fillId="0" borderId="64" xfId="28" applyNumberFormat="1" applyFont="1" applyBorder="1" applyAlignment="1" applyProtection="1">
      <alignment horizontal="center"/>
    </xf>
    <xf numFmtId="164" fontId="3" fillId="26" borderId="64" xfId="28" applyNumberFormat="1" applyFont="1" applyFill="1" applyBorder="1" applyAlignment="1" applyProtection="1">
      <alignment horizontal="center"/>
    </xf>
    <xf numFmtId="164" fontId="3" fillId="26" borderId="64" xfId="28" applyNumberFormat="1" applyFont="1" applyFill="1" applyBorder="1" applyProtection="1"/>
    <xf numFmtId="164" fontId="3" fillId="0" borderId="64" xfId="28" applyNumberFormat="1" applyFont="1" applyBorder="1" applyProtection="1"/>
    <xf numFmtId="164" fontId="3" fillId="0" borderId="68" xfId="28" applyNumberFormat="1" applyFont="1" applyBorder="1"/>
    <xf numFmtId="165" fontId="3" fillId="0" borderId="66" xfId="28" quotePrefix="1" applyNumberFormat="1" applyFont="1" applyBorder="1" applyAlignment="1" applyProtection="1">
      <alignment horizontal="center" vertical="center"/>
    </xf>
    <xf numFmtId="169" fontId="3" fillId="0" borderId="14" xfId="0" applyNumberFormat="1" applyFont="1" applyBorder="1" applyAlignment="1" applyProtection="1">
      <alignment horizontal="center"/>
    </xf>
    <xf numFmtId="169" fontId="3" fillId="0" borderId="18" xfId="0" applyNumberFormat="1" applyFont="1" applyBorder="1" applyAlignment="1" applyProtection="1">
      <alignment horizontal="center"/>
    </xf>
    <xf numFmtId="169" fontId="3" fillId="0" borderId="74" xfId="0" applyNumberFormat="1" applyFont="1" applyBorder="1" applyAlignment="1" applyProtection="1">
      <alignment horizontal="center"/>
    </xf>
    <xf numFmtId="169" fontId="3" fillId="0" borderId="15" xfId="0" applyNumberFormat="1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9" fontId="3" fillId="0" borderId="15" xfId="0" quotePrefix="1" applyNumberFormat="1" applyFont="1" applyBorder="1" applyAlignment="1" applyProtection="1">
      <alignment horizontal="center"/>
    </xf>
    <xf numFmtId="169" fontId="3" fillId="0" borderId="21" xfId="0" applyNumberFormat="1" applyFont="1" applyBorder="1" applyAlignment="1" applyProtection="1">
      <alignment horizontal="center"/>
    </xf>
    <xf numFmtId="165" fontId="12" fillId="0" borderId="23" xfId="28" quotePrefix="1" applyNumberFormat="1" applyFont="1" applyBorder="1" applyAlignment="1" applyProtection="1">
      <alignment horizontal="center"/>
    </xf>
    <xf numFmtId="164" fontId="4" fillId="0" borderId="23" xfId="28" applyNumberFormat="1" applyFont="1" applyBorder="1" applyProtection="1"/>
    <xf numFmtId="164" fontId="4" fillId="27" borderId="14" xfId="0" applyNumberFormat="1" applyFont="1" applyFill="1" applyBorder="1"/>
    <xf numFmtId="164" fontId="4" fillId="27" borderId="15" xfId="0" applyNumberFormat="1" applyFont="1" applyFill="1" applyBorder="1"/>
    <xf numFmtId="164" fontId="4" fillId="27" borderId="21" xfId="0" applyNumberFormat="1" applyFont="1" applyFill="1" applyBorder="1"/>
    <xf numFmtId="14" fontId="0" fillId="0" borderId="0" xfId="0" applyNumberFormat="1"/>
    <xf numFmtId="43" fontId="4" fillId="0" borderId="21" xfId="28" applyFont="1" applyBorder="1"/>
    <xf numFmtId="43" fontId="4" fillId="0" borderId="21" xfId="28" applyFont="1" applyBorder="1" applyAlignment="1">
      <alignment horizontal="right"/>
    </xf>
    <xf numFmtId="164" fontId="4" fillId="0" borderId="21" xfId="0" applyNumberFormat="1" applyFont="1" applyBorder="1"/>
    <xf numFmtId="43" fontId="4" fillId="0" borderId="18" xfId="28" applyFont="1" applyBorder="1"/>
    <xf numFmtId="43" fontId="4" fillId="0" borderId="18" xfId="28" applyFont="1" applyBorder="1" applyAlignment="1">
      <alignment horizontal="right"/>
    </xf>
    <xf numFmtId="43" fontId="4" fillId="0" borderId="18" xfId="28" applyFont="1" applyBorder="1" applyAlignment="1">
      <alignment horizontal="center"/>
    </xf>
    <xf numFmtId="164" fontId="4" fillId="0" borderId="18" xfId="0" applyNumberFormat="1" applyFont="1" applyBorder="1"/>
    <xf numFmtId="164" fontId="3" fillId="0" borderId="18" xfId="0" applyNumberFormat="1" applyFont="1" applyBorder="1" applyAlignment="1">
      <alignment horizontal="center"/>
    </xf>
    <xf numFmtId="0" fontId="24" fillId="0" borderId="0" xfId="0" applyFont="1" applyAlignment="1"/>
    <xf numFmtId="164" fontId="4" fillId="23" borderId="14" xfId="0" applyNumberFormat="1" applyFont="1" applyFill="1" applyBorder="1"/>
    <xf numFmtId="164" fontId="4" fillId="23" borderId="43" xfId="0" applyNumberFormat="1" applyFont="1" applyFill="1" applyBorder="1" applyAlignment="1">
      <alignment horizontal="center"/>
    </xf>
    <xf numFmtId="164" fontId="4" fillId="23" borderId="75" xfId="0" applyNumberFormat="1" applyFont="1" applyFill="1" applyBorder="1" applyAlignment="1">
      <alignment horizontal="center"/>
    </xf>
    <xf numFmtId="165" fontId="3" fillId="0" borderId="67" xfId="28" quotePrefix="1" applyNumberFormat="1" applyFont="1" applyBorder="1" applyAlignment="1" applyProtection="1">
      <alignment horizontal="center" vertical="center"/>
    </xf>
    <xf numFmtId="165" fontId="3" fillId="0" borderId="22" xfId="28" quotePrefix="1" applyNumberFormat="1" applyFont="1" applyBorder="1" applyAlignment="1" applyProtection="1">
      <alignment horizontal="center" vertical="center"/>
    </xf>
    <xf numFmtId="164" fontId="4" fillId="26" borderId="15" xfId="28" applyNumberFormat="1" applyFont="1" applyFill="1" applyBorder="1" applyAlignment="1">
      <alignment horizontal="center"/>
    </xf>
    <xf numFmtId="164" fontId="3" fillId="0" borderId="17" xfId="0" applyNumberFormat="1" applyFont="1" applyFill="1" applyBorder="1"/>
    <xf numFmtId="9" fontId="3" fillId="0" borderId="0" xfId="41" applyFont="1" applyFill="1" applyAlignment="1">
      <alignment horizontal="center"/>
    </xf>
    <xf numFmtId="0" fontId="0" fillId="0" borderId="0" xfId="0" applyFill="1" applyBorder="1" applyAlignment="1">
      <alignment horizontal="centerContinuous" vertical="center"/>
    </xf>
    <xf numFmtId="0" fontId="0" fillId="0" borderId="0" xfId="0" applyFill="1"/>
    <xf numFmtId="164" fontId="4" fillId="26" borderId="14" xfId="0" applyNumberFormat="1" applyFont="1" applyFill="1" applyBorder="1"/>
    <xf numFmtId="164" fontId="4" fillId="26" borderId="15" xfId="0" applyNumberFormat="1" applyFont="1" applyFill="1" applyBorder="1"/>
    <xf numFmtId="164" fontId="4" fillId="26" borderId="15" xfId="28" applyNumberFormat="1" applyFont="1" applyFill="1" applyBorder="1"/>
    <xf numFmtId="164" fontId="4" fillId="26" borderId="21" xfId="0" applyNumberFormat="1" applyFont="1" applyFill="1" applyBorder="1"/>
    <xf numFmtId="0" fontId="0" fillId="0" borderId="23" xfId="0" applyBorder="1"/>
    <xf numFmtId="0" fontId="0" fillId="0" borderId="29" xfId="0" applyBorder="1"/>
    <xf numFmtId="164" fontId="5" fillId="0" borderId="23" xfId="0" quotePrefix="1" applyNumberFormat="1" applyFont="1" applyBorder="1"/>
    <xf numFmtId="164" fontId="5" fillId="0" borderId="30" xfId="0" quotePrefix="1" applyNumberFormat="1" applyFont="1" applyBorder="1"/>
    <xf numFmtId="164" fontId="2" fillId="0" borderId="30" xfId="0" quotePrefix="1" applyNumberFormat="1" applyFont="1" applyBorder="1"/>
    <xf numFmtId="0" fontId="3" fillId="23" borderId="23" xfId="0" applyFont="1" applyFill="1" applyBorder="1"/>
    <xf numFmtId="0" fontId="3" fillId="23" borderId="30" xfId="0" applyFont="1" applyFill="1" applyBorder="1" applyAlignment="1">
      <alignment horizontal="center"/>
    </xf>
    <xf numFmtId="14" fontId="62" fillId="0" borderId="0" xfId="0" applyNumberFormat="1" applyFont="1"/>
    <xf numFmtId="0" fontId="62" fillId="0" borderId="0" xfId="0" applyFont="1"/>
    <xf numFmtId="0" fontId="3" fillId="0" borderId="0" xfId="0" applyFont="1" applyFill="1" applyBorder="1" applyAlignment="1"/>
    <xf numFmtId="0" fontId="0" fillId="0" borderId="0" xfId="0" applyFill="1" applyAlignment="1">
      <alignment horizontal="centerContinuous" vertical="center"/>
    </xf>
    <xf numFmtId="0" fontId="8" fillId="0" borderId="0" xfId="0" applyFont="1" applyFill="1" applyAlignment="1">
      <alignment horizontal="centerContinuous"/>
    </xf>
    <xf numFmtId="0" fontId="3" fillId="0" borderId="55" xfId="0" applyFont="1" applyFill="1" applyBorder="1" applyAlignment="1">
      <alignment horizontal="centerContinuous" vertical="center"/>
    </xf>
    <xf numFmtId="0" fontId="0" fillId="0" borderId="56" xfId="0" applyFill="1" applyBorder="1" applyAlignment="1">
      <alignment horizontal="centerContinuous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4" fontId="4" fillId="0" borderId="14" xfId="28" applyNumberFormat="1" applyFont="1" applyFill="1" applyBorder="1"/>
    <xf numFmtId="43" fontId="4" fillId="0" borderId="15" xfId="28" applyFont="1" applyFill="1" applyBorder="1"/>
    <xf numFmtId="164" fontId="4" fillId="0" borderId="15" xfId="0" applyNumberFormat="1" applyFont="1" applyFill="1" applyBorder="1"/>
    <xf numFmtId="168" fontId="4" fillId="0" borderId="15" xfId="28" applyNumberFormat="1" applyFont="1" applyFill="1" applyBorder="1" applyAlignment="1">
      <alignment horizontal="right"/>
    </xf>
    <xf numFmtId="43" fontId="4" fillId="0" borderId="15" xfId="28" applyFont="1" applyFill="1" applyBorder="1" applyAlignment="1">
      <alignment horizontal="center"/>
    </xf>
    <xf numFmtId="164" fontId="4" fillId="0" borderId="15" xfId="28" quotePrefix="1" applyNumberFormat="1" applyFont="1" applyFill="1" applyBorder="1" applyAlignment="1">
      <alignment horizontal="center"/>
    </xf>
    <xf numFmtId="43" fontId="4" fillId="0" borderId="15" xfId="28" quotePrefix="1" applyNumberFormat="1" applyFont="1" applyFill="1" applyBorder="1" applyAlignment="1">
      <alignment horizontal="center"/>
    </xf>
    <xf numFmtId="164" fontId="3" fillId="0" borderId="15" xfId="28" applyNumberFormat="1" applyFont="1" applyFill="1" applyBorder="1" applyAlignment="1">
      <alignment horizontal="center"/>
    </xf>
    <xf numFmtId="164" fontId="4" fillId="0" borderId="15" xfId="28" applyNumberFormat="1" applyFont="1" applyFill="1" applyBorder="1" applyAlignment="1">
      <alignment horizontal="center"/>
    </xf>
    <xf numFmtId="43" fontId="4" fillId="0" borderId="21" xfId="28" applyFont="1" applyFill="1" applyBorder="1"/>
    <xf numFmtId="164" fontId="4" fillId="0" borderId="21" xfId="0" applyNumberFormat="1" applyFont="1" applyFill="1" applyBorder="1"/>
    <xf numFmtId="43" fontId="3" fillId="0" borderId="17" xfId="28" applyFont="1" applyFill="1" applyBorder="1"/>
    <xf numFmtId="0" fontId="8" fillId="0" borderId="0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164" fontId="3" fillId="0" borderId="22" xfId="0" applyNumberFormat="1" applyFont="1" applyBorder="1" applyAlignment="1">
      <alignment horizontal="center"/>
    </xf>
    <xf numFmtId="43" fontId="4" fillId="0" borderId="14" xfId="28" applyFont="1" applyFill="1" applyBorder="1" applyAlignment="1">
      <alignment horizontal="center"/>
    </xf>
    <xf numFmtId="43" fontId="4" fillId="0" borderId="15" xfId="28" applyFont="1" applyFill="1" applyBorder="1" applyAlignment="1">
      <alignment horizontal="right"/>
    </xf>
    <xf numFmtId="167" fontId="4" fillId="0" borderId="15" xfId="0" applyNumberFormat="1" applyFont="1" applyFill="1" applyBorder="1" applyAlignment="1">
      <alignment horizontal="right"/>
    </xf>
    <xf numFmtId="167" fontId="4" fillId="0" borderId="15" xfId="28" quotePrefix="1" applyNumberFormat="1" applyFont="1" applyFill="1" applyBorder="1" applyAlignment="1">
      <alignment horizontal="right"/>
    </xf>
    <xf numFmtId="167" fontId="4" fillId="0" borderId="15" xfId="28" applyNumberFormat="1" applyFont="1" applyFill="1" applyBorder="1" applyAlignment="1">
      <alignment horizontal="right"/>
    </xf>
    <xf numFmtId="43" fontId="4" fillId="0" borderId="21" xfId="28" applyFont="1" applyFill="1" applyBorder="1" applyAlignment="1">
      <alignment horizontal="center"/>
    </xf>
    <xf numFmtId="164" fontId="4" fillId="0" borderId="21" xfId="28" applyNumberFormat="1" applyFont="1" applyFill="1" applyBorder="1" applyAlignment="1">
      <alignment horizontal="center"/>
    </xf>
    <xf numFmtId="168" fontId="4" fillId="0" borderId="14" xfId="28" applyNumberFormat="1" applyFont="1" applyFill="1" applyBorder="1" applyAlignment="1">
      <alignment horizontal="right"/>
    </xf>
    <xf numFmtId="167" fontId="4" fillId="0" borderId="14" xfId="28" applyNumberFormat="1" applyFont="1" applyFill="1" applyBorder="1" applyAlignment="1">
      <alignment horizontal="right"/>
    </xf>
    <xf numFmtId="168" fontId="4" fillId="0" borderId="15" xfId="28" quotePrefix="1" applyNumberFormat="1" applyFont="1" applyFill="1" applyBorder="1" applyAlignment="1">
      <alignment horizontal="right"/>
    </xf>
    <xf numFmtId="0" fontId="3" fillId="0" borderId="17" xfId="0" applyFont="1" applyFill="1" applyBorder="1"/>
    <xf numFmtId="9" fontId="3" fillId="0" borderId="17" xfId="41" applyFont="1" applyFill="1" applyBorder="1" applyAlignment="1">
      <alignment horizontal="center"/>
    </xf>
    <xf numFmtId="43" fontId="0" fillId="0" borderId="0" xfId="0" applyNumberFormat="1" applyFill="1"/>
    <xf numFmtId="167" fontId="0" fillId="0" borderId="0" xfId="0" applyNumberFormat="1" applyFill="1"/>
    <xf numFmtId="167" fontId="0" fillId="0" borderId="0" xfId="0" applyNumberFormat="1" applyFill="1" applyAlignment="1">
      <alignment horizontal="center"/>
    </xf>
    <xf numFmtId="43" fontId="0" fillId="0" borderId="0" xfId="0" applyNumberFormat="1" applyFill="1" applyAlignment="1">
      <alignment horizontal="center"/>
    </xf>
    <xf numFmtId="43" fontId="4" fillId="0" borderId="0" xfId="28" applyFont="1" applyFill="1" applyBorder="1"/>
    <xf numFmtId="164" fontId="4" fillId="0" borderId="0" xfId="0" applyNumberFormat="1" applyFont="1" applyFill="1" applyBorder="1"/>
    <xf numFmtId="14" fontId="62" fillId="0" borderId="0" xfId="0" applyNumberFormat="1" applyFont="1" applyFill="1"/>
    <xf numFmtId="15" fontId="3" fillId="23" borderId="22" xfId="0" applyNumberFormat="1" applyFont="1" applyFill="1" applyBorder="1" applyAlignment="1">
      <alignment horizontal="center"/>
    </xf>
    <xf numFmtId="166" fontId="3" fillId="0" borderId="76" xfId="28" applyNumberFormat="1" applyFont="1" applyBorder="1" applyAlignment="1" applyProtection="1">
      <alignment horizontal="center"/>
    </xf>
    <xf numFmtId="166" fontId="3" fillId="0" borderId="77" xfId="28" applyNumberFormat="1" applyFont="1" applyBorder="1" applyAlignment="1" applyProtection="1">
      <alignment horizontal="center"/>
    </xf>
    <xf numFmtId="166" fontId="3" fillId="0" borderId="78" xfId="28" applyNumberFormat="1" applyFont="1" applyBorder="1" applyAlignment="1" applyProtection="1">
      <alignment horizontal="center"/>
    </xf>
    <xf numFmtId="165" fontId="3" fillId="0" borderId="66" xfId="28" quotePrefix="1" applyNumberFormat="1" applyFont="1" applyBorder="1" applyAlignment="1" applyProtection="1">
      <alignment horizontal="center"/>
    </xf>
    <xf numFmtId="164" fontId="4" fillId="0" borderId="18" xfId="28" applyNumberFormat="1" applyFont="1" applyBorder="1"/>
    <xf numFmtId="164" fontId="4" fillId="0" borderId="79" xfId="28" applyNumberFormat="1" applyFont="1" applyBorder="1"/>
    <xf numFmtId="164" fontId="4" fillId="0" borderId="74" xfId="28" applyNumberFormat="1" applyFont="1" applyBorder="1"/>
    <xf numFmtId="164" fontId="4" fillId="0" borderId="80" xfId="28" applyNumberFormat="1" applyFont="1" applyBorder="1"/>
    <xf numFmtId="164" fontId="3" fillId="0" borderId="23" xfId="28" applyNumberFormat="1" applyFont="1" applyBorder="1" applyAlignment="1" applyProtection="1">
      <alignment horizontal="center"/>
    </xf>
    <xf numFmtId="164" fontId="4" fillId="28" borderId="15" xfId="28" applyNumberFormat="1" applyFont="1" applyFill="1" applyBorder="1"/>
    <xf numFmtId="167" fontId="0" fillId="28" borderId="0" xfId="0" applyNumberFormat="1" applyFill="1"/>
    <xf numFmtId="169" fontId="3" fillId="0" borderId="65" xfId="0" applyNumberFormat="1" applyFont="1" applyBorder="1" applyProtection="1"/>
    <xf numFmtId="169" fontId="3" fillId="0" borderId="64" xfId="0" applyNumberFormat="1" applyFont="1" applyBorder="1" applyProtection="1"/>
    <xf numFmtId="169" fontId="3" fillId="0" borderId="81" xfId="0" applyNumberFormat="1" applyFont="1" applyBorder="1" applyProtection="1"/>
    <xf numFmtId="169" fontId="3" fillId="0" borderId="82" xfId="0" applyNumberFormat="1" applyFont="1" applyBorder="1"/>
    <xf numFmtId="170" fontId="12" fillId="0" borderId="66" xfId="0" applyNumberFormat="1" applyFont="1" applyBorder="1" applyAlignment="1" applyProtection="1">
      <alignment horizontal="center"/>
    </xf>
    <xf numFmtId="169" fontId="3" fillId="0" borderId="83" xfId="0" applyNumberFormat="1" applyFont="1" applyBorder="1" applyProtection="1"/>
    <xf numFmtId="169" fontId="3" fillId="0" borderId="28" xfId="0" applyNumberFormat="1" applyFont="1" applyBorder="1" applyProtection="1"/>
    <xf numFmtId="169" fontId="3" fillId="0" borderId="63" xfId="0" applyNumberFormat="1" applyFont="1" applyBorder="1" applyProtection="1"/>
    <xf numFmtId="164" fontId="3" fillId="0" borderId="65" xfId="28" applyNumberFormat="1" applyFont="1" applyBorder="1" applyProtection="1"/>
    <xf numFmtId="165" fontId="12" fillId="0" borderId="66" xfId="28" quotePrefix="1" applyNumberFormat="1" applyFont="1" applyBorder="1" applyAlignment="1" applyProtection="1">
      <alignment horizontal="center" vertical="center"/>
    </xf>
    <xf numFmtId="164" fontId="3" fillId="0" borderId="83" xfId="28" applyNumberFormat="1" applyFont="1" applyBorder="1" applyProtection="1"/>
    <xf numFmtId="164" fontId="3" fillId="0" borderId="28" xfId="28" applyNumberFormat="1" applyFont="1" applyBorder="1" applyProtection="1"/>
    <xf numFmtId="164" fontId="3" fillId="0" borderId="63" xfId="28" applyNumberFormat="1" applyFont="1" applyBorder="1" applyProtection="1"/>
    <xf numFmtId="165" fontId="3" fillId="0" borderId="84" xfId="28" quotePrefix="1" applyNumberFormat="1" applyFont="1" applyBorder="1" applyAlignment="1" applyProtection="1">
      <alignment horizontal="center"/>
    </xf>
    <xf numFmtId="165" fontId="3" fillId="0" borderId="22" xfId="28" quotePrefix="1" applyNumberFormat="1" applyFont="1" applyBorder="1" applyAlignment="1" applyProtection="1">
      <alignment horizontal="center"/>
    </xf>
    <xf numFmtId="165" fontId="12" fillId="0" borderId="66" xfId="28" quotePrefix="1" applyNumberFormat="1" applyFont="1" applyBorder="1" applyAlignment="1" applyProtection="1">
      <alignment horizontal="center"/>
    </xf>
    <xf numFmtId="164" fontId="3" fillId="0" borderId="85" xfId="28" applyNumberFormat="1" applyFont="1" applyBorder="1" applyAlignment="1" applyProtection="1">
      <alignment horizontal="center"/>
    </xf>
    <xf numFmtId="164" fontId="3" fillId="0" borderId="86" xfId="28" applyNumberFormat="1" applyFont="1" applyBorder="1" applyAlignment="1" applyProtection="1">
      <alignment horizontal="center"/>
    </xf>
    <xf numFmtId="164" fontId="3" fillId="0" borderId="87" xfId="28" applyNumberFormat="1" applyFont="1" applyBorder="1" applyAlignment="1" applyProtection="1">
      <alignment horizontal="center"/>
    </xf>
    <xf numFmtId="0" fontId="3" fillId="26" borderId="17" xfId="0" applyFont="1" applyFill="1" applyBorder="1" applyAlignment="1">
      <alignment horizontal="center"/>
    </xf>
    <xf numFmtId="0" fontId="8" fillId="26" borderId="0" xfId="0" applyFont="1" applyFill="1" applyAlignment="1">
      <alignment horizontal="centerContinuous"/>
    </xf>
    <xf numFmtId="164" fontId="4" fillId="26" borderId="15" xfId="28" quotePrefix="1" applyNumberFormat="1" applyFont="1" applyFill="1" applyBorder="1" applyAlignment="1">
      <alignment horizontal="center"/>
    </xf>
    <xf numFmtId="164" fontId="3" fillId="26" borderId="17" xfId="0" applyNumberFormat="1" applyFont="1" applyFill="1" applyBorder="1"/>
    <xf numFmtId="9" fontId="3" fillId="26" borderId="17" xfId="41" applyNumberFormat="1" applyFont="1" applyFill="1" applyBorder="1" applyAlignment="1">
      <alignment horizontal="center"/>
    </xf>
    <xf numFmtId="9" fontId="3" fillId="26" borderId="0" xfId="41" applyFont="1" applyFill="1" applyAlignment="1">
      <alignment horizontal="center"/>
    </xf>
    <xf numFmtId="164" fontId="3" fillId="26" borderId="0" xfId="0" applyNumberFormat="1" applyFont="1" applyFill="1" applyAlignment="1">
      <alignment horizontal="right"/>
    </xf>
    <xf numFmtId="164" fontId="3" fillId="26" borderId="0" xfId="0" applyNumberFormat="1" applyFont="1" applyFill="1" applyAlignment="1">
      <alignment horizontal="center"/>
    </xf>
    <xf numFmtId="0" fontId="0" fillId="26" borderId="0" xfId="0" applyFill="1" applyBorder="1" applyAlignment="1">
      <alignment horizontal="centerContinuous" vertical="center"/>
    </xf>
    <xf numFmtId="0" fontId="8" fillId="26" borderId="0" xfId="0" applyFont="1" applyFill="1" applyBorder="1" applyAlignment="1">
      <alignment horizontal="centerContinuous"/>
    </xf>
    <xf numFmtId="0" fontId="8" fillId="26" borderId="0" xfId="0" applyFont="1" applyFill="1" applyBorder="1" applyAlignment="1">
      <alignment horizontal="center"/>
    </xf>
    <xf numFmtId="0" fontId="0" fillId="26" borderId="0" xfId="0" applyFill="1" applyBorder="1"/>
    <xf numFmtId="0" fontId="0" fillId="26" borderId="88" xfId="0" applyFill="1" applyBorder="1" applyAlignment="1">
      <alignment horizontal="centerContinuous" vertical="center"/>
    </xf>
    <xf numFmtId="0" fontId="3" fillId="26" borderId="89" xfId="0" applyFont="1" applyFill="1" applyBorder="1" applyAlignment="1">
      <alignment horizontal="center"/>
    </xf>
    <xf numFmtId="0" fontId="3" fillId="26" borderId="90" xfId="0" applyFont="1" applyFill="1" applyBorder="1" applyAlignment="1">
      <alignment horizontal="center"/>
    </xf>
    <xf numFmtId="0" fontId="3" fillId="26" borderId="91" xfId="0" applyFont="1" applyFill="1" applyBorder="1" applyAlignment="1">
      <alignment horizontal="center"/>
    </xf>
    <xf numFmtId="164" fontId="4" fillId="26" borderId="0" xfId="28" applyNumberFormat="1" applyFont="1" applyFill="1" applyBorder="1" applyAlignment="1">
      <alignment horizontal="center"/>
    </xf>
    <xf numFmtId="0" fontId="0" fillId="26" borderId="0" xfId="0" applyFill="1"/>
    <xf numFmtId="164" fontId="4" fillId="26" borderId="14" xfId="28" applyNumberFormat="1" applyFont="1" applyFill="1" applyBorder="1"/>
    <xf numFmtId="0" fontId="57" fillId="23" borderId="0" xfId="0" applyFont="1" applyFill="1"/>
    <xf numFmtId="0" fontId="9" fillId="23" borderId="0" xfId="0" applyFont="1" applyFill="1"/>
    <xf numFmtId="0" fontId="1" fillId="23" borderId="0" xfId="0" applyFont="1" applyFill="1"/>
    <xf numFmtId="0" fontId="58" fillId="0" borderId="0" xfId="0" applyFont="1"/>
    <xf numFmtId="0" fontId="3" fillId="0" borderId="0" xfId="0" applyFont="1"/>
    <xf numFmtId="0" fontId="0" fillId="0" borderId="92" xfId="0" applyBorder="1"/>
    <xf numFmtId="0" fontId="0" fillId="0" borderId="93" xfId="0" applyBorder="1"/>
    <xf numFmtId="1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1" fontId="63" fillId="29" borderId="0" xfId="0" applyNumberFormat="1" applyFont="1" applyFill="1" applyBorder="1" applyAlignment="1" applyProtection="1">
      <alignment horizontal="right"/>
      <protection locked="0"/>
    </xf>
    <xf numFmtId="1" fontId="0" fillId="24" borderId="0" xfId="0" applyNumberFormat="1" applyFill="1" applyBorder="1" applyAlignment="1" applyProtection="1">
      <alignment horizontal="right"/>
      <protection locked="0"/>
    </xf>
    <xf numFmtId="0" fontId="0" fillId="0" borderId="90" xfId="0" applyBorder="1"/>
    <xf numFmtId="1" fontId="0" fillId="0" borderId="0" xfId="0" applyNumberFormat="1" applyBorder="1"/>
    <xf numFmtId="0" fontId="0" fillId="0" borderId="89" xfId="0" applyBorder="1"/>
    <xf numFmtId="1" fontId="0" fillId="0" borderId="94" xfId="0" applyNumberFormat="1" applyBorder="1" applyAlignment="1">
      <alignment horizontal="right"/>
    </xf>
    <xf numFmtId="0" fontId="0" fillId="0" borderId="0" xfId="0" applyNumberFormat="1"/>
    <xf numFmtId="1" fontId="0" fillId="0" borderId="0" xfId="0" applyNumberFormat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95" xfId="0" applyBorder="1"/>
    <xf numFmtId="1" fontId="0" fillId="0" borderId="0" xfId="0" applyNumberFormat="1"/>
    <xf numFmtId="0" fontId="0" fillId="0" borderId="94" xfId="0" applyBorder="1"/>
    <xf numFmtId="0" fontId="0" fillId="0" borderId="12" xfId="0" applyBorder="1"/>
    <xf numFmtId="0" fontId="0" fillId="0" borderId="27" xfId="0" applyBorder="1"/>
    <xf numFmtId="1" fontId="0" fillId="0" borderId="92" xfId="0" applyNumberFormat="1" applyBorder="1"/>
    <xf numFmtId="16" fontId="0" fillId="0" borderId="0" xfId="0" applyNumberFormat="1"/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7" xfId="0" applyBorder="1"/>
    <xf numFmtId="0" fontId="0" fillId="0" borderId="44" xfId="0" applyBorder="1"/>
    <xf numFmtId="0" fontId="0" fillId="0" borderId="30" xfId="0" applyBorder="1" applyAlignment="1">
      <alignment horizontal="center"/>
    </xf>
    <xf numFmtId="0" fontId="0" fillId="0" borderId="96" xfId="0" applyBorder="1" applyAlignment="1">
      <alignment horizontal="center"/>
    </xf>
    <xf numFmtId="1" fontId="0" fillId="0" borderId="85" xfId="0" applyNumberFormat="1" applyBorder="1" applyAlignment="1" applyProtection="1">
      <alignment horizontal="right"/>
      <protection locked="0"/>
    </xf>
    <xf numFmtId="1" fontId="0" fillId="0" borderId="97" xfId="0" applyNumberFormat="1" applyBorder="1" applyAlignment="1" applyProtection="1">
      <alignment horizontal="right"/>
      <protection locked="0"/>
    </xf>
    <xf numFmtId="1" fontId="0" fillId="0" borderId="60" xfId="0" applyNumberFormat="1" applyBorder="1" applyAlignment="1" applyProtection="1">
      <alignment horizontal="right"/>
      <protection locked="0"/>
    </xf>
    <xf numFmtId="1" fontId="0" fillId="0" borderId="86" xfId="0" applyNumberFormat="1" applyBorder="1" applyAlignment="1" applyProtection="1">
      <alignment horizontal="right"/>
      <protection locked="0"/>
    </xf>
    <xf numFmtId="1" fontId="0" fillId="0" borderId="61" xfId="0" applyNumberFormat="1" applyBorder="1" applyAlignment="1" applyProtection="1">
      <alignment horizontal="right"/>
      <protection locked="0"/>
    </xf>
    <xf numFmtId="1" fontId="0" fillId="0" borderId="87" xfId="0" applyNumberFormat="1" applyBorder="1"/>
    <xf numFmtId="1" fontId="0" fillId="0" borderId="45" xfId="0" applyNumberFormat="1" applyBorder="1"/>
    <xf numFmtId="1" fontId="0" fillId="0" borderId="44" xfId="0" applyNumberFormat="1" applyBorder="1"/>
    <xf numFmtId="1" fontId="0" fillId="0" borderId="85" xfId="0" applyNumberFormat="1" applyBorder="1" applyAlignment="1">
      <alignment horizontal="right"/>
    </xf>
    <xf numFmtId="1" fontId="0" fillId="0" borderId="97" xfId="0" applyNumberFormat="1" applyBorder="1" applyAlignment="1">
      <alignment horizontal="right"/>
    </xf>
    <xf numFmtId="1" fontId="0" fillId="0" borderId="60" xfId="0" applyNumberFormat="1" applyBorder="1" applyAlignment="1">
      <alignment horizontal="right"/>
    </xf>
    <xf numFmtId="1" fontId="0" fillId="0" borderId="86" xfId="0" applyNumberFormat="1" applyBorder="1" applyAlignment="1">
      <alignment horizontal="right"/>
    </xf>
    <xf numFmtId="1" fontId="0" fillId="0" borderId="61" xfId="0" applyNumberFormat="1" applyBorder="1" applyAlignment="1">
      <alignment horizontal="right"/>
    </xf>
    <xf numFmtId="1" fontId="0" fillId="0" borderId="87" xfId="0" applyNumberFormat="1" applyBorder="1" applyAlignment="1">
      <alignment horizontal="right"/>
    </xf>
    <xf numFmtId="1" fontId="0" fillId="0" borderId="45" xfId="0" applyNumberFormat="1" applyBorder="1" applyAlignment="1">
      <alignment horizontal="right"/>
    </xf>
    <xf numFmtId="1" fontId="0" fillId="30" borderId="45" xfId="0" applyNumberFormat="1" applyFill="1" applyBorder="1" applyAlignment="1">
      <alignment horizontal="right"/>
    </xf>
    <xf numFmtId="1" fontId="0" fillId="0" borderId="44" xfId="0" applyNumberFormat="1" applyBorder="1" applyAlignment="1">
      <alignment horizontal="right"/>
    </xf>
    <xf numFmtId="0" fontId="2" fillId="0" borderId="23" xfId="0" applyFont="1" applyBorder="1"/>
    <xf numFmtId="0" fontId="2" fillId="0" borderId="30" xfId="0" applyFont="1" applyBorder="1"/>
    <xf numFmtId="0" fontId="2" fillId="0" borderId="29" xfId="0" applyFont="1" applyBorder="1"/>
    <xf numFmtId="0" fontId="2" fillId="0" borderId="23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97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1" fontId="0" fillId="26" borderId="97" xfId="0" applyNumberFormat="1" applyFill="1" applyBorder="1" applyAlignment="1">
      <alignment horizontal="right"/>
    </xf>
    <xf numFmtId="1" fontId="0" fillId="31" borderId="97" xfId="0" applyNumberFormat="1" applyFill="1" applyBorder="1" applyAlignment="1">
      <alignment horizontal="right"/>
    </xf>
    <xf numFmtId="2" fontId="0" fillId="31" borderId="0" xfId="0" applyNumberFormat="1" applyFill="1"/>
    <xf numFmtId="43" fontId="4" fillId="26" borderId="14" xfId="28" applyFont="1" applyFill="1" applyBorder="1"/>
    <xf numFmtId="43" fontId="4" fillId="26" borderId="15" xfId="28" applyFont="1" applyFill="1" applyBorder="1"/>
    <xf numFmtId="168" fontId="4" fillId="26" borderId="15" xfId="28" applyNumberFormat="1" applyFont="1" applyFill="1" applyBorder="1" applyAlignment="1">
      <alignment horizontal="right"/>
    </xf>
    <xf numFmtId="43" fontId="4" fillId="26" borderId="15" xfId="28" applyFont="1" applyFill="1" applyBorder="1" applyAlignment="1">
      <alignment horizontal="center"/>
    </xf>
    <xf numFmtId="43" fontId="4" fillId="26" borderId="15" xfId="28" quotePrefix="1" applyNumberFormat="1" applyFont="1" applyFill="1" applyBorder="1" applyAlignment="1">
      <alignment horizontal="center"/>
    </xf>
    <xf numFmtId="164" fontId="3" fillId="26" borderId="15" xfId="28" applyNumberFormat="1" applyFont="1" applyFill="1" applyBorder="1" applyAlignment="1">
      <alignment horizontal="center"/>
    </xf>
    <xf numFmtId="43" fontId="4" fillId="26" borderId="15" xfId="28" applyNumberFormat="1" applyFont="1" applyFill="1" applyBorder="1" applyAlignment="1">
      <alignment horizontal="center"/>
    </xf>
    <xf numFmtId="43" fontId="4" fillId="26" borderId="21" xfId="28" quotePrefix="1" applyNumberFormat="1" applyFont="1" applyFill="1" applyBorder="1" applyAlignment="1">
      <alignment horizontal="center"/>
    </xf>
    <xf numFmtId="43" fontId="4" fillId="26" borderId="14" xfId="28" quotePrefix="1" applyNumberFormat="1" applyFont="1" applyFill="1" applyBorder="1" applyAlignment="1">
      <alignment horizontal="center"/>
    </xf>
    <xf numFmtId="43" fontId="3" fillId="26" borderId="17" xfId="28" applyFont="1" applyFill="1" applyBorder="1"/>
    <xf numFmtId="0" fontId="0" fillId="26" borderId="0" xfId="0" applyFill="1" applyAlignment="1">
      <alignment horizontal="center"/>
    </xf>
    <xf numFmtId="0" fontId="3" fillId="26" borderId="55" xfId="0" applyFont="1" applyFill="1" applyBorder="1" applyAlignment="1">
      <alignment horizontal="centerContinuous" vertical="center"/>
    </xf>
    <xf numFmtId="0" fontId="3" fillId="26" borderId="12" xfId="0" applyFont="1" applyFill="1" applyBorder="1" applyAlignment="1">
      <alignment horizontal="center"/>
    </xf>
    <xf numFmtId="0" fontId="3" fillId="26" borderId="27" xfId="0" applyFont="1" applyFill="1" applyBorder="1" applyAlignment="1">
      <alignment horizontal="center"/>
    </xf>
    <xf numFmtId="43" fontId="4" fillId="26" borderId="0" xfId="28" quotePrefix="1" applyFont="1" applyFill="1" applyBorder="1" applyAlignment="1">
      <alignment horizontal="center"/>
    </xf>
    <xf numFmtId="169" fontId="3" fillId="32" borderId="70" xfId="0" applyNumberFormat="1" applyFont="1" applyFill="1" applyBorder="1" applyAlignment="1" applyProtection="1">
      <alignment horizontal="center"/>
    </xf>
    <xf numFmtId="164" fontId="3" fillId="23" borderId="25" xfId="0" applyNumberFormat="1" applyFont="1" applyFill="1" applyBorder="1" applyAlignment="1">
      <alignment horizontal="center"/>
    </xf>
    <xf numFmtId="43" fontId="4" fillId="26" borderId="15" xfId="28" applyNumberFormat="1" applyFont="1" applyFill="1" applyBorder="1"/>
    <xf numFmtId="43" fontId="4" fillId="26" borderId="21" xfId="28" applyFont="1" applyFill="1" applyBorder="1"/>
    <xf numFmtId="0" fontId="3" fillId="26" borderId="0" xfId="0" applyFont="1" applyFill="1" applyBorder="1" applyAlignment="1"/>
    <xf numFmtId="0" fontId="0" fillId="26" borderId="0" xfId="0" applyFill="1" applyAlignment="1">
      <alignment horizontal="centerContinuous" vertical="center"/>
    </xf>
    <xf numFmtId="0" fontId="0" fillId="26" borderId="56" xfId="0" applyFill="1" applyBorder="1" applyAlignment="1">
      <alignment horizontal="centerContinuous" vertical="center"/>
    </xf>
    <xf numFmtId="0" fontId="3" fillId="26" borderId="13" xfId="0" applyFont="1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168" fontId="4" fillId="33" borderId="15" xfId="28" applyNumberFormat="1" applyFont="1" applyFill="1" applyBorder="1" applyAlignment="1">
      <alignment horizontal="right"/>
    </xf>
    <xf numFmtId="164" fontId="4" fillId="33" borderId="14" xfId="28" applyNumberFormat="1" applyFont="1" applyFill="1" applyBorder="1"/>
    <xf numFmtId="164" fontId="4" fillId="33" borderId="15" xfId="0" applyNumberFormat="1" applyFont="1" applyFill="1" applyBorder="1"/>
    <xf numFmtId="164" fontId="3" fillId="33" borderId="15" xfId="28" applyNumberFormat="1" applyFont="1" applyFill="1" applyBorder="1" applyAlignment="1">
      <alignment horizontal="center"/>
    </xf>
    <xf numFmtId="164" fontId="61" fillId="33" borderId="15" xfId="28" applyNumberFormat="1" applyFont="1" applyFill="1" applyBorder="1" applyAlignment="1">
      <alignment horizontal="center"/>
    </xf>
    <xf numFmtId="164" fontId="3" fillId="33" borderId="15" xfId="28" quotePrefix="1" applyNumberFormat="1" applyFont="1" applyFill="1" applyBorder="1" applyAlignment="1">
      <alignment horizontal="center"/>
    </xf>
    <xf numFmtId="164" fontId="3" fillId="33" borderId="21" xfId="28" applyNumberFormat="1" applyFont="1" applyFill="1" applyBorder="1" applyAlignment="1">
      <alignment horizontal="center"/>
    </xf>
    <xf numFmtId="164" fontId="3" fillId="33" borderId="14" xfId="28" quotePrefix="1" applyNumberFormat="1" applyFont="1" applyFill="1" applyBorder="1" applyAlignment="1">
      <alignment horizontal="center"/>
    </xf>
    <xf numFmtId="164" fontId="3" fillId="33" borderId="15" xfId="0" applyNumberFormat="1" applyFont="1" applyFill="1" applyBorder="1"/>
    <xf numFmtId="167" fontId="4" fillId="33" borderId="15" xfId="0" applyNumberFormat="1" applyFont="1" applyFill="1" applyBorder="1" applyAlignment="1">
      <alignment horizontal="right"/>
    </xf>
    <xf numFmtId="9" fontId="3" fillId="26" borderId="17" xfId="41" applyFont="1" applyFill="1" applyBorder="1" applyAlignment="1">
      <alignment horizontal="center"/>
    </xf>
    <xf numFmtId="43" fontId="0" fillId="26" borderId="0" xfId="0" applyNumberFormat="1" applyFill="1"/>
    <xf numFmtId="43" fontId="0" fillId="26" borderId="0" xfId="0" applyNumberFormat="1" applyFill="1" applyAlignment="1">
      <alignment horizontal="center"/>
    </xf>
    <xf numFmtId="164" fontId="4" fillId="0" borderId="22" xfId="28" applyNumberFormat="1" applyFont="1" applyBorder="1" applyProtection="1"/>
    <xf numFmtId="164" fontId="4" fillId="0" borderId="60" xfId="28" applyNumberFormat="1" applyFont="1" applyBorder="1" applyProtection="1"/>
    <xf numFmtId="164" fontId="4" fillId="0" borderId="24" xfId="28" applyNumberFormat="1" applyFont="1" applyBorder="1" applyProtection="1"/>
    <xf numFmtId="164" fontId="4" fillId="0" borderId="83" xfId="28" applyNumberFormat="1" applyFont="1" applyBorder="1" applyProtection="1"/>
    <xf numFmtId="164" fontId="4" fillId="0" borderId="28" xfId="28" applyNumberFormat="1" applyFont="1" applyBorder="1" applyProtection="1"/>
    <xf numFmtId="164" fontId="4" fillId="0" borderId="63" xfId="28" applyNumberFormat="1" applyFont="1" applyBorder="1" applyProtection="1"/>
    <xf numFmtId="164" fontId="3" fillId="0" borderId="22" xfId="28" applyNumberFormat="1" applyFont="1" applyBorder="1" applyAlignment="1" applyProtection="1">
      <alignment horizontal="center"/>
    </xf>
    <xf numFmtId="167" fontId="4" fillId="26" borderId="15" xfId="28" applyNumberFormat="1" applyFont="1" applyFill="1" applyBorder="1" applyAlignment="1">
      <alignment horizontal="right"/>
    </xf>
    <xf numFmtId="164" fontId="4" fillId="33" borderId="15" xfId="28" quotePrefix="1" applyNumberFormat="1" applyFont="1" applyFill="1" applyBorder="1" applyAlignment="1">
      <alignment horizontal="center"/>
    </xf>
    <xf numFmtId="164" fontId="4" fillId="33" borderId="15" xfId="28" applyNumberFormat="1" applyFont="1" applyFill="1" applyBorder="1"/>
    <xf numFmtId="43" fontId="4" fillId="33" borderId="15" xfId="28" quotePrefix="1" applyNumberFormat="1" applyFont="1" applyFill="1" applyBorder="1" applyAlignment="1">
      <alignment horizontal="center"/>
    </xf>
    <xf numFmtId="43" fontId="4" fillId="33" borderId="15" xfId="28" applyFont="1" applyFill="1" applyBorder="1" applyAlignment="1">
      <alignment horizontal="center"/>
    </xf>
    <xf numFmtId="164" fontId="4" fillId="33" borderId="15" xfId="28" applyNumberFormat="1" applyFont="1" applyFill="1" applyBorder="1" applyAlignment="1">
      <alignment horizontal="center"/>
    </xf>
    <xf numFmtId="43" fontId="4" fillId="33" borderId="15" xfId="28" applyFont="1" applyFill="1" applyBorder="1"/>
    <xf numFmtId="43" fontId="4" fillId="33" borderId="15" xfId="28" applyNumberFormat="1" applyFont="1" applyFill="1" applyBorder="1" applyAlignment="1">
      <alignment horizontal="center"/>
    </xf>
    <xf numFmtId="164" fontId="4" fillId="33" borderId="21" xfId="0" applyNumberFormat="1" applyFont="1" applyFill="1" applyBorder="1"/>
    <xf numFmtId="167" fontId="4" fillId="26" borderId="15" xfId="0" applyNumberFormat="1" applyFont="1" applyFill="1" applyBorder="1" applyAlignment="1">
      <alignment horizontal="right"/>
    </xf>
    <xf numFmtId="164" fontId="61" fillId="26" borderId="15" xfId="28" applyNumberFormat="1" applyFont="1" applyFill="1" applyBorder="1" applyAlignment="1">
      <alignment horizontal="center"/>
    </xf>
    <xf numFmtId="164" fontId="3" fillId="26" borderId="15" xfId="28" quotePrefix="1" applyNumberFormat="1" applyFont="1" applyFill="1" applyBorder="1" applyAlignment="1">
      <alignment horizontal="center"/>
    </xf>
    <xf numFmtId="164" fontId="3" fillId="26" borderId="21" xfId="28" applyNumberFormat="1" applyFont="1" applyFill="1" applyBorder="1" applyAlignment="1">
      <alignment horizontal="center"/>
    </xf>
    <xf numFmtId="164" fontId="3" fillId="26" borderId="14" xfId="28" quotePrefix="1" applyNumberFormat="1" applyFont="1" applyFill="1" applyBorder="1" applyAlignment="1">
      <alignment horizontal="center"/>
    </xf>
    <xf numFmtId="164" fontId="3" fillId="26" borderId="15" xfId="0" applyNumberFormat="1" applyFont="1" applyFill="1" applyBorder="1"/>
    <xf numFmtId="169" fontId="3" fillId="28" borderId="69" xfId="0" applyNumberFormat="1" applyFont="1" applyFill="1" applyBorder="1" applyAlignment="1" applyProtection="1">
      <alignment horizontal="center"/>
    </xf>
    <xf numFmtId="169" fontId="3" fillId="26" borderId="69" xfId="0" applyNumberFormat="1" applyFont="1" applyFill="1" applyBorder="1" applyAlignment="1" applyProtection="1">
      <alignment horizontal="center"/>
    </xf>
    <xf numFmtId="0" fontId="2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9" fillId="0" borderId="5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1">
    <dxf>
      <font>
        <strike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cs typeface="Arial"/>
              </a:rPr>
              <a:t>Grafik Volume Waduk SE JAWA  TENGAH</a:t>
            </a:r>
          </a:p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cs typeface="Arial"/>
              </a:rPr>
              <a:t> 5 tahun</a:t>
            </a:r>
          </a:p>
        </c:rich>
      </c:tx>
      <c:layout>
        <c:manualLayout>
          <c:xMode val="edge"/>
          <c:yMode val="edge"/>
          <c:x val="0.11849507105926163"/>
          <c:y val="4.88888888888888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0133779264205"/>
          <c:y val="0.19047619047619097"/>
          <c:w val="0.75919732441471688"/>
          <c:h val="0.67809523809524008"/>
        </c:manualLayout>
      </c:layout>
      <c:lineChart>
        <c:grouping val="standard"/>
        <c:ser>
          <c:idx val="2"/>
          <c:order val="0"/>
          <c:tx>
            <c:strRef>
              <c:f>'GRA JATENG'!$C$4</c:f>
              <c:strCache>
                <c:ptCount val="1"/>
                <c:pt idx="0">
                  <c:v>2009 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'GRA JATENG'!$B$5:$B$16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'GRA JATENG'!$C$5:$C$16</c:f>
              <c:numCache>
                <c:formatCode>0.000</c:formatCode>
                <c:ptCount val="12"/>
                <c:pt idx="0">
                  <c:v>874.06</c:v>
                </c:pt>
                <c:pt idx="1">
                  <c:v>1257.5</c:v>
                </c:pt>
                <c:pt idx="2">
                  <c:v>1483.8</c:v>
                </c:pt>
                <c:pt idx="3">
                  <c:v>1508</c:v>
                </c:pt>
                <c:pt idx="4">
                  <c:v>1494.75</c:v>
                </c:pt>
                <c:pt idx="5">
                  <c:v>1450.2</c:v>
                </c:pt>
                <c:pt idx="6">
                  <c:v>1275.6500000000001</c:v>
                </c:pt>
                <c:pt idx="7">
                  <c:v>1381.75</c:v>
                </c:pt>
                <c:pt idx="8">
                  <c:v>960.17499999999995</c:v>
                </c:pt>
                <c:pt idx="9">
                  <c:v>849</c:v>
                </c:pt>
                <c:pt idx="10">
                  <c:v>826.5</c:v>
                </c:pt>
                <c:pt idx="11">
                  <c:v>576.75</c:v>
                </c:pt>
              </c:numCache>
            </c:numRef>
          </c:val>
        </c:ser>
        <c:ser>
          <c:idx val="3"/>
          <c:order val="1"/>
          <c:tx>
            <c:strRef>
              <c:f>'GRA JATENG'!$D$4</c:f>
              <c:strCache>
                <c:ptCount val="1"/>
                <c:pt idx="0">
                  <c:v>2010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'GRA JATENG'!$B$5:$B$16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'GRA JATENG'!$D$5:$D$16</c:f>
              <c:numCache>
                <c:formatCode>0.000</c:formatCode>
                <c:ptCount val="12"/>
                <c:pt idx="0">
                  <c:v>710.58600000000001</c:v>
                </c:pt>
                <c:pt idx="1">
                  <c:v>1110.18</c:v>
                </c:pt>
                <c:pt idx="2">
                  <c:v>1422.3</c:v>
                </c:pt>
                <c:pt idx="3">
                  <c:v>1646</c:v>
                </c:pt>
                <c:pt idx="4">
                  <c:v>1754.55</c:v>
                </c:pt>
                <c:pt idx="5">
                  <c:v>1721.75</c:v>
                </c:pt>
                <c:pt idx="6">
                  <c:v>1646.76</c:v>
                </c:pt>
                <c:pt idx="7">
                  <c:v>1558.65</c:v>
                </c:pt>
                <c:pt idx="8">
                  <c:v>1527.3</c:v>
                </c:pt>
                <c:pt idx="9">
                  <c:v>1445.35</c:v>
                </c:pt>
                <c:pt idx="10">
                  <c:v>1466.559</c:v>
                </c:pt>
                <c:pt idx="11">
                  <c:v>1599.3</c:v>
                </c:pt>
              </c:numCache>
            </c:numRef>
          </c:val>
        </c:ser>
        <c:ser>
          <c:idx val="4"/>
          <c:order val="2"/>
          <c:tx>
            <c:strRef>
              <c:f>'GRA JATENG'!$E$4</c:f>
              <c:strCache>
                <c:ptCount val="1"/>
                <c:pt idx="0">
                  <c:v>2011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Pt>
            <c:idx val="3"/>
            <c:marker>
              <c:symbol val="auto"/>
              <c:spPr>
                <a:solidFill>
                  <a:srgbClr val="002060"/>
                </a:solidFill>
              </c:spPr>
            </c:marker>
            <c:spPr>
              <a:ln w="12700">
                <a:solidFill>
                  <a:srgbClr val="FF0000"/>
                </a:solidFill>
                <a:prstDash val="solid"/>
              </a:ln>
            </c:spPr>
          </c:dPt>
          <c:cat>
            <c:strRef>
              <c:f>'GRA JATENG'!$B$5:$B$16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'GRA JATENG'!$E$5:$E$16</c:f>
              <c:numCache>
                <c:formatCode>0.000</c:formatCode>
                <c:ptCount val="12"/>
                <c:pt idx="0">
                  <c:v>1531</c:v>
                </c:pt>
                <c:pt idx="1">
                  <c:v>1583</c:v>
                </c:pt>
                <c:pt idx="2">
                  <c:v>1640</c:v>
                </c:pt>
                <c:pt idx="3">
                  <c:v>1720</c:v>
                </c:pt>
                <c:pt idx="4">
                  <c:v>1735</c:v>
                </c:pt>
                <c:pt idx="5">
                  <c:v>1568</c:v>
                </c:pt>
                <c:pt idx="6">
                  <c:v>1447</c:v>
                </c:pt>
                <c:pt idx="7">
                  <c:v>1340</c:v>
                </c:pt>
                <c:pt idx="8">
                  <c:v>1189</c:v>
                </c:pt>
                <c:pt idx="9">
                  <c:v>958</c:v>
                </c:pt>
                <c:pt idx="10">
                  <c:v>991</c:v>
                </c:pt>
                <c:pt idx="11">
                  <c:v>1047</c:v>
                </c:pt>
              </c:numCache>
            </c:numRef>
          </c:val>
        </c:ser>
        <c:ser>
          <c:idx val="5"/>
          <c:order val="3"/>
          <c:tx>
            <c:strRef>
              <c:f>'GRA JATENG'!$F$4</c:f>
              <c:strCache>
                <c:ptCount val="1"/>
                <c:pt idx="0">
                  <c:v>2012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'GRA JATENG'!$B$5:$B$16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'GRA JATENG'!$F$5:$F$16</c:f>
              <c:numCache>
                <c:formatCode>0.000</c:formatCode>
                <c:ptCount val="12"/>
                <c:pt idx="0">
                  <c:v>1393</c:v>
                </c:pt>
                <c:pt idx="1">
                  <c:v>1578</c:v>
                </c:pt>
                <c:pt idx="2">
                  <c:v>1668</c:v>
                </c:pt>
                <c:pt idx="3">
                  <c:v>1674</c:v>
                </c:pt>
                <c:pt idx="4">
                  <c:v>1596</c:v>
                </c:pt>
                <c:pt idx="5">
                  <c:v>1414</c:v>
                </c:pt>
                <c:pt idx="6">
                  <c:v>1218</c:v>
                </c:pt>
                <c:pt idx="7">
                  <c:v>1084</c:v>
                </c:pt>
                <c:pt idx="8">
                  <c:v>980</c:v>
                </c:pt>
                <c:pt idx="9">
                  <c:v>810</c:v>
                </c:pt>
                <c:pt idx="10">
                  <c:v>650</c:v>
                </c:pt>
                <c:pt idx="11">
                  <c:v>792</c:v>
                </c:pt>
              </c:numCache>
            </c:numRef>
          </c:val>
        </c:ser>
        <c:ser>
          <c:idx val="6"/>
          <c:order val="4"/>
          <c:tx>
            <c:strRef>
              <c:f>'GRA JATENG'!$G$4</c:f>
              <c:strCache>
                <c:ptCount val="1"/>
                <c:pt idx="0">
                  <c:v>2013 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'GRA JATENG'!$B$5:$B$16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'GRA JATENG'!$G$5:$G$16</c:f>
              <c:numCache>
                <c:formatCode>0.000</c:formatCode>
                <c:ptCount val="12"/>
                <c:pt idx="0">
                  <c:v>1176</c:v>
                </c:pt>
                <c:pt idx="1">
                  <c:v>1374</c:v>
                </c:pt>
                <c:pt idx="2">
                  <c:v>1546</c:v>
                </c:pt>
                <c:pt idx="3">
                  <c:v>1745.5619999999999</c:v>
                </c:pt>
                <c:pt idx="4">
                  <c:v>1682.5940000000001</c:v>
                </c:pt>
                <c:pt idx="5">
                  <c:v>1721.8942</c:v>
                </c:pt>
                <c:pt idx="6">
                  <c:v>1593.0050000000001</c:v>
                </c:pt>
                <c:pt idx="7">
                  <c:v>1388.973</c:v>
                </c:pt>
                <c:pt idx="8">
                  <c:v>1087.125</c:v>
                </c:pt>
                <c:pt idx="9">
                  <c:v>874.971</c:v>
                </c:pt>
                <c:pt idx="10">
                  <c:v>793.18100000000004</c:v>
                </c:pt>
                <c:pt idx="11">
                  <c:v>1027.2876000000001</c:v>
                </c:pt>
              </c:numCache>
            </c:numRef>
          </c:val>
        </c:ser>
        <c:marker val="1"/>
        <c:axId val="64866560"/>
        <c:axId val="86483328"/>
      </c:lineChart>
      <c:catAx>
        <c:axId val="648665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0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83328"/>
        <c:crosses val="autoZero"/>
        <c:lblAlgn val="ctr"/>
        <c:lblOffset val="100"/>
        <c:tickLblSkip val="1"/>
        <c:tickMarkSkip val="1"/>
      </c:catAx>
      <c:valAx>
        <c:axId val="86483328"/>
        <c:scaling>
          <c:orientation val="minMax"/>
          <c:max val="1800"/>
          <c:min val="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Juta m3</a:t>
                </a:r>
              </a:p>
            </c:rich>
          </c:tx>
          <c:layout>
            <c:manualLayout>
              <c:xMode val="edge"/>
              <c:yMode val="edge"/>
              <c:x val="6.95423941572522E-3"/>
              <c:y val="0.48940662417197905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FF66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66560"/>
        <c:crosses val="autoZero"/>
        <c:crossBetween val="between"/>
        <c:majorUnit val="100"/>
        <c:minorUnit val="10"/>
      </c:valAx>
      <c:spPr>
        <a:solidFill>
          <a:srgbClr val="C0C0C0"/>
        </a:solidFill>
        <a:ln w="12700">
          <a:solidFill>
            <a:srgbClr val="CC99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39600066714053"/>
          <c:y val="0.18095238095238153"/>
          <c:w val="0.10186518491208629"/>
          <c:h val="0.6730158730158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743964886613222E-2"/>
          <c:y val="7.6422885580039346E-2"/>
          <c:w val="0.94001463057790779"/>
          <c:h val="0.8146354399063781"/>
        </c:manualLayout>
      </c:layout>
      <c:barChart>
        <c:barDir val="col"/>
        <c:grouping val="clustered"/>
        <c:ser>
          <c:idx val="0"/>
          <c:order val="0"/>
          <c:tx>
            <c:v>RENCANA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UTAMA!$R$106:$R$135</c:f>
              <c:numCache>
                <c:formatCode>General</c:formatCode>
                <c:ptCount val="30"/>
              </c:numCache>
            </c:numRef>
          </c:cat>
          <c:val>
            <c:numRef>
              <c:f>UTAMA!$S$106:$S$135</c:f>
              <c:numCache>
                <c:formatCode>General</c:formatCode>
                <c:ptCount val="30"/>
              </c:numCache>
            </c:numRef>
          </c:val>
        </c:ser>
        <c:ser>
          <c:idx val="1"/>
          <c:order val="1"/>
          <c:tx>
            <c:v>REALISASI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UTAMA!$R$106:$R$135</c:f>
              <c:numCache>
                <c:formatCode>General</c:formatCode>
                <c:ptCount val="30"/>
              </c:numCache>
            </c:numRef>
          </c:cat>
          <c:val>
            <c:numRef>
              <c:f>UTAMA!$T$106:$T$135</c:f>
              <c:numCache>
                <c:formatCode>General</c:formatCode>
                <c:ptCount val="30"/>
              </c:numCache>
            </c:numRef>
          </c:val>
        </c:ser>
        <c:axId val="128841600"/>
        <c:axId val="128851968"/>
      </c:barChart>
      <c:catAx>
        <c:axId val="1288416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WADUK KECIL</a:t>
                </a:r>
              </a:p>
            </c:rich>
          </c:tx>
          <c:layout>
            <c:manualLayout>
              <c:xMode val="edge"/>
              <c:yMode val="edge"/>
              <c:x val="0.47622526879571531"/>
              <c:y val="0.935649532572476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51968"/>
        <c:crosses val="autoZero"/>
        <c:lblAlgn val="ctr"/>
        <c:lblOffset val="100"/>
        <c:tickLblSkip val="2"/>
        <c:tickMarkSkip val="1"/>
      </c:catAx>
      <c:valAx>
        <c:axId val="128851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VOLUME (Juta m</a:t>
                </a:r>
                <a:r>
                  <a:rPr lang="en-US" sz="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6576646193337511E-3"/>
              <c:y val="0.400000589813914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FF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41600"/>
        <c:crosses val="autoZero"/>
        <c:crossBetween val="between"/>
        <c:majorUnit val="1.32090000000000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438591115196993"/>
          <c:y val="8.1299949865817345E-3"/>
          <c:w val="0.15975893876209665"/>
          <c:h val="5.8536966587041869E-2"/>
        </c:manualLayout>
      </c:layout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89" l="0" r="0" t="0.91" header="0.5" footer="0.5"/>
    <c:pageSetup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497331632797856"/>
          <c:y val="8.9843750000000014E-2"/>
          <c:w val="0.78408247440566958"/>
          <c:h val="0.87890625000000133"/>
        </c:manualLayout>
      </c:layout>
      <c:barChart>
        <c:barDir val="col"/>
        <c:grouping val="clustered"/>
        <c:ser>
          <c:idx val="0"/>
          <c:order val="0"/>
          <c:tx>
            <c:v>RENCANA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UTAMA!$R$56:$R$63</c:f>
              <c:numCache>
                <c:formatCode>General</c:formatCode>
                <c:ptCount val="8"/>
              </c:numCache>
            </c:numRef>
          </c:cat>
          <c:val>
            <c:numRef>
              <c:f>UTAMA!$S$56:$S$63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v>REALISASI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UTAMA!$R$56:$R$63</c:f>
              <c:numCache>
                <c:formatCode>General</c:formatCode>
                <c:ptCount val="8"/>
              </c:numCache>
            </c:numRef>
          </c:cat>
          <c:val>
            <c:numRef>
              <c:f>UTAMA!$T$56:$T$63</c:f>
              <c:numCache>
                <c:formatCode>General</c:formatCode>
                <c:ptCount val="8"/>
              </c:numCache>
            </c:numRef>
          </c:val>
        </c:ser>
        <c:axId val="128987520"/>
        <c:axId val="128989440"/>
      </c:barChart>
      <c:catAx>
        <c:axId val="1289875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
</a:t>
                </a:r>
              </a:p>
            </c:rich>
          </c:tx>
          <c:layout>
            <c:manualLayout>
              <c:xMode val="edge"/>
              <c:yMode val="edge"/>
              <c:x val="0.51368237167075426"/>
              <c:y val="0.761718635170604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89440"/>
        <c:crossesAt val="0"/>
        <c:lblAlgn val="ctr"/>
        <c:lblOffset val="100"/>
        <c:tickLblSkip val="1"/>
        <c:tickMarkSkip val="1"/>
      </c:catAx>
      <c:valAx>
        <c:axId val="128989440"/>
        <c:scaling>
          <c:orientation val="minMax"/>
          <c:max val="5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Volume (Juta m</a:t>
                </a:r>
                <a:r>
                  <a:rPr lang="en-US" sz="11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2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 sz="1250" b="1" i="0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6.2190095090572809E-3"/>
              <c:y val="0.38281233595800651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87520"/>
        <c:crosses val="autoZero"/>
        <c:crossBetween val="between"/>
        <c:majorUnit val="15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654429671700851"/>
          <c:y val="1.5624934383202125E-2"/>
          <c:w val="0.19240876038036292"/>
          <c:h val="4.6874803149606334E-2"/>
        </c:manualLayout>
      </c:layout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8" l="0.75000000000000133" r="0.75000000000000133" t="0.82000000000000062" header="0.5" footer="0.5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37613471747792"/>
          <c:y val="0.18296529968454306"/>
          <c:w val="0.82833549865307599"/>
          <c:h val="0.76971608832807792"/>
        </c:manualLayout>
      </c:layout>
      <c:lineChart>
        <c:grouping val="standard"/>
        <c:ser>
          <c:idx val="0"/>
          <c:order val="0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'[10]2013'!$BN$66:$BN$430</c:f>
              <c:numCache>
                <c:formatCode>General</c:formatCode>
                <c:ptCount val="36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  <c:pt idx="14">
                  <c:v>41289</c:v>
                </c:pt>
                <c:pt idx="15">
                  <c:v>41290</c:v>
                </c:pt>
                <c:pt idx="16">
                  <c:v>41291</c:v>
                </c:pt>
                <c:pt idx="17">
                  <c:v>41292</c:v>
                </c:pt>
                <c:pt idx="18">
                  <c:v>41293</c:v>
                </c:pt>
                <c:pt idx="19">
                  <c:v>41294</c:v>
                </c:pt>
                <c:pt idx="20">
                  <c:v>41295</c:v>
                </c:pt>
                <c:pt idx="21">
                  <c:v>41296</c:v>
                </c:pt>
                <c:pt idx="22">
                  <c:v>41297</c:v>
                </c:pt>
                <c:pt idx="23">
                  <c:v>41298</c:v>
                </c:pt>
                <c:pt idx="24">
                  <c:v>41299</c:v>
                </c:pt>
                <c:pt idx="25">
                  <c:v>41300</c:v>
                </c:pt>
                <c:pt idx="26">
                  <c:v>41301</c:v>
                </c:pt>
                <c:pt idx="27">
                  <c:v>41302</c:v>
                </c:pt>
                <c:pt idx="28">
                  <c:v>41303</c:v>
                </c:pt>
                <c:pt idx="29">
                  <c:v>41304</c:v>
                </c:pt>
                <c:pt idx="30">
                  <c:v>41305</c:v>
                </c:pt>
                <c:pt idx="31">
                  <c:v>41306</c:v>
                </c:pt>
                <c:pt idx="32">
                  <c:v>41307</c:v>
                </c:pt>
                <c:pt idx="33">
                  <c:v>41308</c:v>
                </c:pt>
                <c:pt idx="34">
                  <c:v>41309</c:v>
                </c:pt>
                <c:pt idx="35">
                  <c:v>41310</c:v>
                </c:pt>
                <c:pt idx="36">
                  <c:v>41311</c:v>
                </c:pt>
                <c:pt idx="37">
                  <c:v>41312</c:v>
                </c:pt>
                <c:pt idx="38">
                  <c:v>41313</c:v>
                </c:pt>
                <c:pt idx="39">
                  <c:v>41314</c:v>
                </c:pt>
                <c:pt idx="40">
                  <c:v>41315</c:v>
                </c:pt>
                <c:pt idx="41">
                  <c:v>41316</c:v>
                </c:pt>
                <c:pt idx="42">
                  <c:v>41317</c:v>
                </c:pt>
                <c:pt idx="43">
                  <c:v>41318</c:v>
                </c:pt>
                <c:pt idx="44">
                  <c:v>41319</c:v>
                </c:pt>
                <c:pt idx="45">
                  <c:v>41320</c:v>
                </c:pt>
                <c:pt idx="46">
                  <c:v>41321</c:v>
                </c:pt>
                <c:pt idx="47">
                  <c:v>41322</c:v>
                </c:pt>
                <c:pt idx="48">
                  <c:v>41323</c:v>
                </c:pt>
                <c:pt idx="49">
                  <c:v>41324</c:v>
                </c:pt>
                <c:pt idx="50">
                  <c:v>41325</c:v>
                </c:pt>
                <c:pt idx="51">
                  <c:v>41326</c:v>
                </c:pt>
                <c:pt idx="52">
                  <c:v>41327</c:v>
                </c:pt>
                <c:pt idx="53">
                  <c:v>41328</c:v>
                </c:pt>
                <c:pt idx="54">
                  <c:v>41329</c:v>
                </c:pt>
                <c:pt idx="55">
                  <c:v>41330</c:v>
                </c:pt>
                <c:pt idx="56">
                  <c:v>41331</c:v>
                </c:pt>
                <c:pt idx="57">
                  <c:v>41332</c:v>
                </c:pt>
                <c:pt idx="58">
                  <c:v>41333</c:v>
                </c:pt>
                <c:pt idx="59">
                  <c:v>41334</c:v>
                </c:pt>
                <c:pt idx="60">
                  <c:v>41335</c:v>
                </c:pt>
                <c:pt idx="61">
                  <c:v>41336</c:v>
                </c:pt>
                <c:pt idx="62">
                  <c:v>41337</c:v>
                </c:pt>
                <c:pt idx="63">
                  <c:v>41338</c:v>
                </c:pt>
                <c:pt idx="64">
                  <c:v>41339</c:v>
                </c:pt>
                <c:pt idx="65">
                  <c:v>41340</c:v>
                </c:pt>
                <c:pt idx="66">
                  <c:v>41341</c:v>
                </c:pt>
                <c:pt idx="67">
                  <c:v>41342</c:v>
                </c:pt>
                <c:pt idx="68">
                  <c:v>41343</c:v>
                </c:pt>
                <c:pt idx="69">
                  <c:v>41344</c:v>
                </c:pt>
                <c:pt idx="70">
                  <c:v>41345</c:v>
                </c:pt>
                <c:pt idx="71">
                  <c:v>41346</c:v>
                </c:pt>
                <c:pt idx="72">
                  <c:v>41347</c:v>
                </c:pt>
                <c:pt idx="73">
                  <c:v>41348</c:v>
                </c:pt>
                <c:pt idx="74">
                  <c:v>41349</c:v>
                </c:pt>
                <c:pt idx="75">
                  <c:v>41350</c:v>
                </c:pt>
                <c:pt idx="76">
                  <c:v>41351</c:v>
                </c:pt>
                <c:pt idx="77">
                  <c:v>41352</c:v>
                </c:pt>
                <c:pt idx="78">
                  <c:v>41353</c:v>
                </c:pt>
                <c:pt idx="79">
                  <c:v>41354</c:v>
                </c:pt>
                <c:pt idx="80">
                  <c:v>41355</c:v>
                </c:pt>
                <c:pt idx="81">
                  <c:v>41356</c:v>
                </c:pt>
                <c:pt idx="82">
                  <c:v>41357</c:v>
                </c:pt>
                <c:pt idx="83">
                  <c:v>41358</c:v>
                </c:pt>
                <c:pt idx="84">
                  <c:v>41359</c:v>
                </c:pt>
                <c:pt idx="85">
                  <c:v>41360</c:v>
                </c:pt>
                <c:pt idx="86">
                  <c:v>41361</c:v>
                </c:pt>
                <c:pt idx="87">
                  <c:v>41362</c:v>
                </c:pt>
                <c:pt idx="88">
                  <c:v>41363</c:v>
                </c:pt>
                <c:pt idx="89">
                  <c:v>41364</c:v>
                </c:pt>
                <c:pt idx="90">
                  <c:v>41365</c:v>
                </c:pt>
                <c:pt idx="91">
                  <c:v>41366</c:v>
                </c:pt>
                <c:pt idx="92">
                  <c:v>41367</c:v>
                </c:pt>
                <c:pt idx="93">
                  <c:v>41368</c:v>
                </c:pt>
                <c:pt idx="94">
                  <c:v>41369</c:v>
                </c:pt>
                <c:pt idx="95">
                  <c:v>41370</c:v>
                </c:pt>
                <c:pt idx="96">
                  <c:v>41371</c:v>
                </c:pt>
                <c:pt idx="97">
                  <c:v>41372</c:v>
                </c:pt>
                <c:pt idx="98">
                  <c:v>41373</c:v>
                </c:pt>
                <c:pt idx="99">
                  <c:v>41374</c:v>
                </c:pt>
                <c:pt idx="100">
                  <c:v>41375</c:v>
                </c:pt>
                <c:pt idx="101">
                  <c:v>41376</c:v>
                </c:pt>
                <c:pt idx="102">
                  <c:v>41377</c:v>
                </c:pt>
                <c:pt idx="103">
                  <c:v>41378</c:v>
                </c:pt>
                <c:pt idx="104">
                  <c:v>41379</c:v>
                </c:pt>
                <c:pt idx="105">
                  <c:v>41380</c:v>
                </c:pt>
                <c:pt idx="106">
                  <c:v>41381</c:v>
                </c:pt>
                <c:pt idx="107">
                  <c:v>41382</c:v>
                </c:pt>
                <c:pt idx="108">
                  <c:v>41383</c:v>
                </c:pt>
                <c:pt idx="109">
                  <c:v>41384</c:v>
                </c:pt>
                <c:pt idx="110">
                  <c:v>41385</c:v>
                </c:pt>
                <c:pt idx="111">
                  <c:v>41386</c:v>
                </c:pt>
                <c:pt idx="112">
                  <c:v>41387</c:v>
                </c:pt>
                <c:pt idx="113">
                  <c:v>41388</c:v>
                </c:pt>
                <c:pt idx="114">
                  <c:v>41389</c:v>
                </c:pt>
                <c:pt idx="115">
                  <c:v>41390</c:v>
                </c:pt>
                <c:pt idx="116">
                  <c:v>41391</c:v>
                </c:pt>
                <c:pt idx="117">
                  <c:v>41392</c:v>
                </c:pt>
                <c:pt idx="118">
                  <c:v>41393</c:v>
                </c:pt>
                <c:pt idx="119">
                  <c:v>41394</c:v>
                </c:pt>
                <c:pt idx="120">
                  <c:v>41395</c:v>
                </c:pt>
                <c:pt idx="121">
                  <c:v>41396</c:v>
                </c:pt>
                <c:pt idx="122">
                  <c:v>41397</c:v>
                </c:pt>
                <c:pt idx="123">
                  <c:v>41398</c:v>
                </c:pt>
                <c:pt idx="124">
                  <c:v>41399</c:v>
                </c:pt>
                <c:pt idx="125">
                  <c:v>41400</c:v>
                </c:pt>
                <c:pt idx="126">
                  <c:v>41401</c:v>
                </c:pt>
                <c:pt idx="127">
                  <c:v>41402</c:v>
                </c:pt>
                <c:pt idx="128">
                  <c:v>41403</c:v>
                </c:pt>
                <c:pt idx="129">
                  <c:v>41404</c:v>
                </c:pt>
                <c:pt idx="130">
                  <c:v>41405</c:v>
                </c:pt>
                <c:pt idx="131">
                  <c:v>41406</c:v>
                </c:pt>
                <c:pt idx="132">
                  <c:v>41407</c:v>
                </c:pt>
                <c:pt idx="133">
                  <c:v>41408</c:v>
                </c:pt>
                <c:pt idx="134">
                  <c:v>41409</c:v>
                </c:pt>
                <c:pt idx="135">
                  <c:v>41410</c:v>
                </c:pt>
                <c:pt idx="136">
                  <c:v>41411</c:v>
                </c:pt>
                <c:pt idx="137">
                  <c:v>41412</c:v>
                </c:pt>
                <c:pt idx="138">
                  <c:v>41413</c:v>
                </c:pt>
                <c:pt idx="139">
                  <c:v>41414</c:v>
                </c:pt>
                <c:pt idx="140">
                  <c:v>41415</c:v>
                </c:pt>
                <c:pt idx="141">
                  <c:v>41416</c:v>
                </c:pt>
                <c:pt idx="142">
                  <c:v>41417</c:v>
                </c:pt>
                <c:pt idx="143">
                  <c:v>41418</c:v>
                </c:pt>
                <c:pt idx="144">
                  <c:v>41419</c:v>
                </c:pt>
                <c:pt idx="145">
                  <c:v>41420</c:v>
                </c:pt>
                <c:pt idx="146">
                  <c:v>41421</c:v>
                </c:pt>
                <c:pt idx="147">
                  <c:v>41422</c:v>
                </c:pt>
                <c:pt idx="148">
                  <c:v>41423</c:v>
                </c:pt>
                <c:pt idx="149">
                  <c:v>41424</c:v>
                </c:pt>
                <c:pt idx="150">
                  <c:v>41425</c:v>
                </c:pt>
                <c:pt idx="151">
                  <c:v>41426</c:v>
                </c:pt>
                <c:pt idx="152">
                  <c:v>41427</c:v>
                </c:pt>
                <c:pt idx="153">
                  <c:v>41428</c:v>
                </c:pt>
                <c:pt idx="154">
                  <c:v>41429</c:v>
                </c:pt>
                <c:pt idx="155">
                  <c:v>41430</c:v>
                </c:pt>
                <c:pt idx="156">
                  <c:v>41431</c:v>
                </c:pt>
                <c:pt idx="157">
                  <c:v>41432</c:v>
                </c:pt>
                <c:pt idx="158">
                  <c:v>41433</c:v>
                </c:pt>
                <c:pt idx="159">
                  <c:v>41434</c:v>
                </c:pt>
                <c:pt idx="160">
                  <c:v>41435</c:v>
                </c:pt>
                <c:pt idx="161">
                  <c:v>41436</c:v>
                </c:pt>
                <c:pt idx="162">
                  <c:v>41437</c:v>
                </c:pt>
                <c:pt idx="163">
                  <c:v>41438</c:v>
                </c:pt>
                <c:pt idx="164">
                  <c:v>41439</c:v>
                </c:pt>
                <c:pt idx="165">
                  <c:v>41440</c:v>
                </c:pt>
                <c:pt idx="166">
                  <c:v>41441</c:v>
                </c:pt>
                <c:pt idx="167">
                  <c:v>41442</c:v>
                </c:pt>
                <c:pt idx="168">
                  <c:v>41443</c:v>
                </c:pt>
                <c:pt idx="169">
                  <c:v>41444</c:v>
                </c:pt>
                <c:pt idx="170">
                  <c:v>41445</c:v>
                </c:pt>
                <c:pt idx="171">
                  <c:v>41446</c:v>
                </c:pt>
                <c:pt idx="172">
                  <c:v>41447</c:v>
                </c:pt>
                <c:pt idx="173">
                  <c:v>41448</c:v>
                </c:pt>
                <c:pt idx="174">
                  <c:v>41449</c:v>
                </c:pt>
                <c:pt idx="175">
                  <c:v>41450</c:v>
                </c:pt>
                <c:pt idx="176">
                  <c:v>41451</c:v>
                </c:pt>
                <c:pt idx="177">
                  <c:v>41452</c:v>
                </c:pt>
                <c:pt idx="178">
                  <c:v>41453</c:v>
                </c:pt>
                <c:pt idx="179">
                  <c:v>41454</c:v>
                </c:pt>
                <c:pt idx="180">
                  <c:v>41455</c:v>
                </c:pt>
                <c:pt idx="181">
                  <c:v>41456</c:v>
                </c:pt>
                <c:pt idx="182">
                  <c:v>41457</c:v>
                </c:pt>
                <c:pt idx="183">
                  <c:v>41458</c:v>
                </c:pt>
                <c:pt idx="184">
                  <c:v>41459</c:v>
                </c:pt>
                <c:pt idx="185">
                  <c:v>41460</c:v>
                </c:pt>
                <c:pt idx="186">
                  <c:v>41461</c:v>
                </c:pt>
                <c:pt idx="187">
                  <c:v>41462</c:v>
                </c:pt>
                <c:pt idx="188">
                  <c:v>41463</c:v>
                </c:pt>
                <c:pt idx="189">
                  <c:v>41464</c:v>
                </c:pt>
                <c:pt idx="190">
                  <c:v>41465</c:v>
                </c:pt>
                <c:pt idx="191">
                  <c:v>41466</c:v>
                </c:pt>
                <c:pt idx="192">
                  <c:v>41467</c:v>
                </c:pt>
                <c:pt idx="193">
                  <c:v>41468</c:v>
                </c:pt>
                <c:pt idx="194">
                  <c:v>41469</c:v>
                </c:pt>
                <c:pt idx="195">
                  <c:v>41470</c:v>
                </c:pt>
                <c:pt idx="196">
                  <c:v>41471</c:v>
                </c:pt>
                <c:pt idx="197">
                  <c:v>41472</c:v>
                </c:pt>
                <c:pt idx="198">
                  <c:v>41473</c:v>
                </c:pt>
                <c:pt idx="199">
                  <c:v>41474</c:v>
                </c:pt>
                <c:pt idx="200">
                  <c:v>41475</c:v>
                </c:pt>
                <c:pt idx="201">
                  <c:v>41476</c:v>
                </c:pt>
                <c:pt idx="202">
                  <c:v>41477</c:v>
                </c:pt>
                <c:pt idx="203">
                  <c:v>41478</c:v>
                </c:pt>
                <c:pt idx="204">
                  <c:v>41479</c:v>
                </c:pt>
                <c:pt idx="205">
                  <c:v>41480</c:v>
                </c:pt>
                <c:pt idx="206">
                  <c:v>41481</c:v>
                </c:pt>
                <c:pt idx="207">
                  <c:v>41482</c:v>
                </c:pt>
                <c:pt idx="208">
                  <c:v>41483</c:v>
                </c:pt>
                <c:pt idx="209">
                  <c:v>41484</c:v>
                </c:pt>
                <c:pt idx="210">
                  <c:v>41485</c:v>
                </c:pt>
                <c:pt idx="211">
                  <c:v>41486</c:v>
                </c:pt>
                <c:pt idx="212">
                  <c:v>41487</c:v>
                </c:pt>
                <c:pt idx="213">
                  <c:v>41488</c:v>
                </c:pt>
                <c:pt idx="214">
                  <c:v>41489</c:v>
                </c:pt>
                <c:pt idx="215">
                  <c:v>41490</c:v>
                </c:pt>
                <c:pt idx="216">
                  <c:v>41491</c:v>
                </c:pt>
                <c:pt idx="217">
                  <c:v>41492</c:v>
                </c:pt>
                <c:pt idx="218">
                  <c:v>41493</c:v>
                </c:pt>
                <c:pt idx="219">
                  <c:v>41494</c:v>
                </c:pt>
                <c:pt idx="220">
                  <c:v>41495</c:v>
                </c:pt>
                <c:pt idx="221">
                  <c:v>41496</c:v>
                </c:pt>
                <c:pt idx="222">
                  <c:v>41497</c:v>
                </c:pt>
                <c:pt idx="223">
                  <c:v>41498</c:v>
                </c:pt>
                <c:pt idx="224">
                  <c:v>41499</c:v>
                </c:pt>
                <c:pt idx="225">
                  <c:v>41500</c:v>
                </c:pt>
                <c:pt idx="226">
                  <c:v>41501</c:v>
                </c:pt>
                <c:pt idx="227">
                  <c:v>41502</c:v>
                </c:pt>
                <c:pt idx="228">
                  <c:v>41503</c:v>
                </c:pt>
                <c:pt idx="229">
                  <c:v>41504</c:v>
                </c:pt>
                <c:pt idx="230">
                  <c:v>41505</c:v>
                </c:pt>
                <c:pt idx="231">
                  <c:v>41506</c:v>
                </c:pt>
                <c:pt idx="232">
                  <c:v>41507</c:v>
                </c:pt>
                <c:pt idx="233">
                  <c:v>41508</c:v>
                </c:pt>
                <c:pt idx="234">
                  <c:v>41509</c:v>
                </c:pt>
                <c:pt idx="235">
                  <c:v>41510</c:v>
                </c:pt>
                <c:pt idx="236">
                  <c:v>41511</c:v>
                </c:pt>
                <c:pt idx="237">
                  <c:v>41512</c:v>
                </c:pt>
                <c:pt idx="238">
                  <c:v>41513</c:v>
                </c:pt>
                <c:pt idx="239">
                  <c:v>41514</c:v>
                </c:pt>
                <c:pt idx="240">
                  <c:v>41515</c:v>
                </c:pt>
                <c:pt idx="241">
                  <c:v>41516</c:v>
                </c:pt>
                <c:pt idx="242">
                  <c:v>41517</c:v>
                </c:pt>
                <c:pt idx="243">
                  <c:v>41518</c:v>
                </c:pt>
                <c:pt idx="244">
                  <c:v>41519</c:v>
                </c:pt>
                <c:pt idx="245">
                  <c:v>41520</c:v>
                </c:pt>
                <c:pt idx="246">
                  <c:v>41521</c:v>
                </c:pt>
                <c:pt idx="247">
                  <c:v>41522</c:v>
                </c:pt>
                <c:pt idx="248">
                  <c:v>41523</c:v>
                </c:pt>
                <c:pt idx="249">
                  <c:v>41524</c:v>
                </c:pt>
                <c:pt idx="250">
                  <c:v>41525</c:v>
                </c:pt>
                <c:pt idx="251">
                  <c:v>41526</c:v>
                </c:pt>
                <c:pt idx="252">
                  <c:v>41527</c:v>
                </c:pt>
                <c:pt idx="253">
                  <c:v>41528</c:v>
                </c:pt>
                <c:pt idx="254">
                  <c:v>41529</c:v>
                </c:pt>
                <c:pt idx="255">
                  <c:v>41530</c:v>
                </c:pt>
                <c:pt idx="256">
                  <c:v>41531</c:v>
                </c:pt>
                <c:pt idx="257">
                  <c:v>41532</c:v>
                </c:pt>
                <c:pt idx="258">
                  <c:v>41533</c:v>
                </c:pt>
                <c:pt idx="259">
                  <c:v>41534</c:v>
                </c:pt>
                <c:pt idx="260">
                  <c:v>41535</c:v>
                </c:pt>
                <c:pt idx="261">
                  <c:v>41536</c:v>
                </c:pt>
                <c:pt idx="262">
                  <c:v>41537</c:v>
                </c:pt>
                <c:pt idx="263">
                  <c:v>41538</c:v>
                </c:pt>
                <c:pt idx="264">
                  <c:v>41539</c:v>
                </c:pt>
                <c:pt idx="265">
                  <c:v>41540</c:v>
                </c:pt>
                <c:pt idx="266">
                  <c:v>41541</c:v>
                </c:pt>
                <c:pt idx="267">
                  <c:v>41542</c:v>
                </c:pt>
                <c:pt idx="268">
                  <c:v>41543</c:v>
                </c:pt>
                <c:pt idx="269">
                  <c:v>41544</c:v>
                </c:pt>
                <c:pt idx="270">
                  <c:v>41545</c:v>
                </c:pt>
                <c:pt idx="271">
                  <c:v>41546</c:v>
                </c:pt>
                <c:pt idx="272">
                  <c:v>41547</c:v>
                </c:pt>
                <c:pt idx="273">
                  <c:v>41548</c:v>
                </c:pt>
                <c:pt idx="274">
                  <c:v>41549</c:v>
                </c:pt>
                <c:pt idx="275">
                  <c:v>41550</c:v>
                </c:pt>
                <c:pt idx="276">
                  <c:v>41551</c:v>
                </c:pt>
                <c:pt idx="277">
                  <c:v>41552</c:v>
                </c:pt>
                <c:pt idx="278">
                  <c:v>41553</c:v>
                </c:pt>
                <c:pt idx="279">
                  <c:v>41554</c:v>
                </c:pt>
                <c:pt idx="280">
                  <c:v>41555</c:v>
                </c:pt>
                <c:pt idx="281">
                  <c:v>41556</c:v>
                </c:pt>
                <c:pt idx="282">
                  <c:v>41557</c:v>
                </c:pt>
                <c:pt idx="283">
                  <c:v>41558</c:v>
                </c:pt>
                <c:pt idx="284">
                  <c:v>41559</c:v>
                </c:pt>
                <c:pt idx="285">
                  <c:v>41560</c:v>
                </c:pt>
                <c:pt idx="286">
                  <c:v>41561</c:v>
                </c:pt>
                <c:pt idx="287">
                  <c:v>41562</c:v>
                </c:pt>
                <c:pt idx="288">
                  <c:v>41563</c:v>
                </c:pt>
                <c:pt idx="289">
                  <c:v>41564</c:v>
                </c:pt>
                <c:pt idx="290">
                  <c:v>41565</c:v>
                </c:pt>
                <c:pt idx="291">
                  <c:v>41566</c:v>
                </c:pt>
                <c:pt idx="292">
                  <c:v>41567</c:v>
                </c:pt>
                <c:pt idx="293">
                  <c:v>41568</c:v>
                </c:pt>
                <c:pt idx="294">
                  <c:v>41569</c:v>
                </c:pt>
                <c:pt idx="295">
                  <c:v>41570</c:v>
                </c:pt>
                <c:pt idx="296">
                  <c:v>41571</c:v>
                </c:pt>
                <c:pt idx="297">
                  <c:v>41572</c:v>
                </c:pt>
                <c:pt idx="298">
                  <c:v>41573</c:v>
                </c:pt>
                <c:pt idx="299">
                  <c:v>41574</c:v>
                </c:pt>
                <c:pt idx="300">
                  <c:v>41575</c:v>
                </c:pt>
                <c:pt idx="301">
                  <c:v>41576</c:v>
                </c:pt>
                <c:pt idx="302">
                  <c:v>41577</c:v>
                </c:pt>
                <c:pt idx="303">
                  <c:v>41578</c:v>
                </c:pt>
                <c:pt idx="304">
                  <c:v>41579</c:v>
                </c:pt>
                <c:pt idx="305">
                  <c:v>41580</c:v>
                </c:pt>
                <c:pt idx="306">
                  <c:v>41581</c:v>
                </c:pt>
                <c:pt idx="307">
                  <c:v>41582</c:v>
                </c:pt>
                <c:pt idx="308">
                  <c:v>41583</c:v>
                </c:pt>
                <c:pt idx="309">
                  <c:v>41584</c:v>
                </c:pt>
                <c:pt idx="310">
                  <c:v>41585</c:v>
                </c:pt>
                <c:pt idx="311">
                  <c:v>41586</c:v>
                </c:pt>
                <c:pt idx="312">
                  <c:v>41587</c:v>
                </c:pt>
                <c:pt idx="313">
                  <c:v>41588</c:v>
                </c:pt>
                <c:pt idx="314">
                  <c:v>41589</c:v>
                </c:pt>
                <c:pt idx="315">
                  <c:v>41590</c:v>
                </c:pt>
                <c:pt idx="316">
                  <c:v>41591</c:v>
                </c:pt>
                <c:pt idx="317">
                  <c:v>41592</c:v>
                </c:pt>
                <c:pt idx="318">
                  <c:v>41593</c:v>
                </c:pt>
                <c:pt idx="319">
                  <c:v>41594</c:v>
                </c:pt>
                <c:pt idx="320">
                  <c:v>41595</c:v>
                </c:pt>
                <c:pt idx="321">
                  <c:v>41596</c:v>
                </c:pt>
                <c:pt idx="322">
                  <c:v>41597</c:v>
                </c:pt>
                <c:pt idx="323">
                  <c:v>41598</c:v>
                </c:pt>
                <c:pt idx="324">
                  <c:v>41599</c:v>
                </c:pt>
                <c:pt idx="325">
                  <c:v>41600</c:v>
                </c:pt>
                <c:pt idx="326">
                  <c:v>41601</c:v>
                </c:pt>
                <c:pt idx="327">
                  <c:v>41602</c:v>
                </c:pt>
                <c:pt idx="328">
                  <c:v>41603</c:v>
                </c:pt>
                <c:pt idx="329">
                  <c:v>41604</c:v>
                </c:pt>
                <c:pt idx="330">
                  <c:v>41605</c:v>
                </c:pt>
                <c:pt idx="331">
                  <c:v>41606</c:v>
                </c:pt>
                <c:pt idx="332">
                  <c:v>41607</c:v>
                </c:pt>
                <c:pt idx="333">
                  <c:v>41608</c:v>
                </c:pt>
                <c:pt idx="334">
                  <c:v>41609</c:v>
                </c:pt>
                <c:pt idx="335">
                  <c:v>41610</c:v>
                </c:pt>
                <c:pt idx="336">
                  <c:v>41611</c:v>
                </c:pt>
                <c:pt idx="337">
                  <c:v>41612</c:v>
                </c:pt>
                <c:pt idx="338">
                  <c:v>41613</c:v>
                </c:pt>
                <c:pt idx="339">
                  <c:v>41614</c:v>
                </c:pt>
                <c:pt idx="340">
                  <c:v>41615</c:v>
                </c:pt>
                <c:pt idx="341">
                  <c:v>41616</c:v>
                </c:pt>
                <c:pt idx="342">
                  <c:v>41617</c:v>
                </c:pt>
                <c:pt idx="343">
                  <c:v>41618</c:v>
                </c:pt>
                <c:pt idx="344">
                  <c:v>41619</c:v>
                </c:pt>
                <c:pt idx="345">
                  <c:v>41620</c:v>
                </c:pt>
                <c:pt idx="346">
                  <c:v>41621</c:v>
                </c:pt>
                <c:pt idx="347">
                  <c:v>41622</c:v>
                </c:pt>
                <c:pt idx="348">
                  <c:v>41623</c:v>
                </c:pt>
                <c:pt idx="349">
                  <c:v>41624</c:v>
                </c:pt>
                <c:pt idx="350">
                  <c:v>41625</c:v>
                </c:pt>
                <c:pt idx="351">
                  <c:v>41626</c:v>
                </c:pt>
                <c:pt idx="352">
                  <c:v>41627</c:v>
                </c:pt>
                <c:pt idx="353">
                  <c:v>41628</c:v>
                </c:pt>
                <c:pt idx="354">
                  <c:v>41629</c:v>
                </c:pt>
                <c:pt idx="355">
                  <c:v>41630</c:v>
                </c:pt>
                <c:pt idx="356">
                  <c:v>41631</c:v>
                </c:pt>
                <c:pt idx="357">
                  <c:v>41632</c:v>
                </c:pt>
                <c:pt idx="358">
                  <c:v>41633</c:v>
                </c:pt>
                <c:pt idx="359">
                  <c:v>41634</c:v>
                </c:pt>
                <c:pt idx="360">
                  <c:v>41635</c:v>
                </c:pt>
                <c:pt idx="361">
                  <c:v>41636</c:v>
                </c:pt>
                <c:pt idx="362">
                  <c:v>41637</c:v>
                </c:pt>
                <c:pt idx="363">
                  <c:v>41638</c:v>
                </c:pt>
                <c:pt idx="364">
                  <c:v>41639</c:v>
                </c:pt>
              </c:numCache>
            </c:numRef>
          </c:cat>
          <c:val>
            <c:numRef>
              <c:f>UTAMA!$AB$66:$AB$430</c:f>
              <c:numCache>
                <c:formatCode>General</c:formatCode>
                <c:ptCount val="365"/>
                <c:pt idx="0">
                  <c:v>954.81</c:v>
                </c:pt>
                <c:pt idx="1">
                  <c:v>977.36699999999996</c:v>
                </c:pt>
                <c:pt idx="2">
                  <c:v>1019</c:v>
                </c:pt>
                <c:pt idx="3">
                  <c:v>1055</c:v>
                </c:pt>
                <c:pt idx="4">
                  <c:v>1093</c:v>
                </c:pt>
                <c:pt idx="5">
                  <c:v>1149</c:v>
                </c:pt>
                <c:pt idx="6">
                  <c:v>1199</c:v>
                </c:pt>
                <c:pt idx="7">
                  <c:v>1187</c:v>
                </c:pt>
                <c:pt idx="8">
                  <c:v>1210</c:v>
                </c:pt>
                <c:pt idx="9">
                  <c:v>1210</c:v>
                </c:pt>
                <c:pt idx="10">
                  <c:v>1200</c:v>
                </c:pt>
                <c:pt idx="11">
                  <c:v>1186</c:v>
                </c:pt>
                <c:pt idx="12">
                  <c:v>1198</c:v>
                </c:pt>
                <c:pt idx="13">
                  <c:v>1192</c:v>
                </c:pt>
                <c:pt idx="14">
                  <c:v>1177.675</c:v>
                </c:pt>
                <c:pt idx="15">
                  <c:v>1185.29</c:v>
                </c:pt>
                <c:pt idx="16">
                  <c:v>1176.56</c:v>
                </c:pt>
                <c:pt idx="17">
                  <c:v>1159.72</c:v>
                </c:pt>
                <c:pt idx="18">
                  <c:v>1150.98</c:v>
                </c:pt>
                <c:pt idx="19">
                  <c:v>1159.47</c:v>
                </c:pt>
                <c:pt idx="20">
                  <c:v>1167.6500000000001</c:v>
                </c:pt>
                <c:pt idx="21">
                  <c:v>1190</c:v>
                </c:pt>
                <c:pt idx="22">
                  <c:v>1217</c:v>
                </c:pt>
                <c:pt idx="23">
                  <c:v>1241</c:v>
                </c:pt>
                <c:pt idx="24">
                  <c:v>1262</c:v>
                </c:pt>
                <c:pt idx="25">
                  <c:v>1275</c:v>
                </c:pt>
                <c:pt idx="26">
                  <c:v>1286</c:v>
                </c:pt>
                <c:pt idx="27">
                  <c:v>1292</c:v>
                </c:pt>
                <c:pt idx="28">
                  <c:v>1229</c:v>
                </c:pt>
                <c:pt idx="29">
                  <c:v>1216</c:v>
                </c:pt>
                <c:pt idx="30">
                  <c:v>1230</c:v>
                </c:pt>
                <c:pt idx="31">
                  <c:v>1300</c:v>
                </c:pt>
                <c:pt idx="32">
                  <c:v>1312</c:v>
                </c:pt>
                <c:pt idx="33">
                  <c:v>1322</c:v>
                </c:pt>
                <c:pt idx="34">
                  <c:v>1341</c:v>
                </c:pt>
                <c:pt idx="35">
                  <c:v>1340</c:v>
                </c:pt>
                <c:pt idx="36">
                  <c:v>1342</c:v>
                </c:pt>
                <c:pt idx="37">
                  <c:v>1346</c:v>
                </c:pt>
                <c:pt idx="38">
                  <c:v>1341</c:v>
                </c:pt>
                <c:pt idx="39">
                  <c:v>1342</c:v>
                </c:pt>
                <c:pt idx="40">
                  <c:v>1349</c:v>
                </c:pt>
                <c:pt idx="41">
                  <c:v>1344</c:v>
                </c:pt>
                <c:pt idx="42">
                  <c:v>1339</c:v>
                </c:pt>
                <c:pt idx="43">
                  <c:v>1344</c:v>
                </c:pt>
                <c:pt idx="44">
                  <c:v>1362</c:v>
                </c:pt>
                <c:pt idx="45">
                  <c:v>1360</c:v>
                </c:pt>
                <c:pt idx="46">
                  <c:v>1366</c:v>
                </c:pt>
                <c:pt idx="47">
                  <c:v>1387</c:v>
                </c:pt>
                <c:pt idx="48">
                  <c:v>1400</c:v>
                </c:pt>
                <c:pt idx="49">
                  <c:v>1393</c:v>
                </c:pt>
                <c:pt idx="50">
                  <c:v>1410</c:v>
                </c:pt>
                <c:pt idx="51">
                  <c:v>1413</c:v>
                </c:pt>
                <c:pt idx="52">
                  <c:v>1410</c:v>
                </c:pt>
                <c:pt idx="53">
                  <c:v>1416</c:v>
                </c:pt>
                <c:pt idx="54">
                  <c:v>1431</c:v>
                </c:pt>
                <c:pt idx="55">
                  <c:v>1440</c:v>
                </c:pt>
                <c:pt idx="56">
                  <c:v>1434</c:v>
                </c:pt>
                <c:pt idx="57">
                  <c:v>1437</c:v>
                </c:pt>
                <c:pt idx="58">
                  <c:v>1458</c:v>
                </c:pt>
                <c:pt idx="59">
                  <c:v>1459</c:v>
                </c:pt>
                <c:pt idx="60">
                  <c:v>1457</c:v>
                </c:pt>
                <c:pt idx="61">
                  <c:v>1485</c:v>
                </c:pt>
                <c:pt idx="62">
                  <c:v>1506</c:v>
                </c:pt>
                <c:pt idx="63">
                  <c:v>1480</c:v>
                </c:pt>
                <c:pt idx="64">
                  <c:v>1475</c:v>
                </c:pt>
                <c:pt idx="65">
                  <c:v>1472</c:v>
                </c:pt>
                <c:pt idx="66">
                  <c:v>1474</c:v>
                </c:pt>
                <c:pt idx="67">
                  <c:v>1474</c:v>
                </c:pt>
                <c:pt idx="68">
                  <c:v>1494</c:v>
                </c:pt>
                <c:pt idx="69">
                  <c:v>1532</c:v>
                </c:pt>
                <c:pt idx="70">
                  <c:v>1536</c:v>
                </c:pt>
                <c:pt idx="71">
                  <c:v>1539</c:v>
                </c:pt>
                <c:pt idx="72">
                  <c:v>1546</c:v>
                </c:pt>
                <c:pt idx="73">
                  <c:v>1558</c:v>
                </c:pt>
                <c:pt idx="74">
                  <c:v>1560</c:v>
                </c:pt>
                <c:pt idx="75">
                  <c:v>1563</c:v>
                </c:pt>
                <c:pt idx="76">
                  <c:v>1568</c:v>
                </c:pt>
                <c:pt idx="77">
                  <c:v>1575</c:v>
                </c:pt>
                <c:pt idx="78">
                  <c:v>1588</c:v>
                </c:pt>
                <c:pt idx="79">
                  <c:v>1592</c:v>
                </c:pt>
                <c:pt idx="80">
                  <c:v>1600</c:v>
                </c:pt>
                <c:pt idx="81">
                  <c:v>1603</c:v>
                </c:pt>
                <c:pt idx="82">
                  <c:v>1600</c:v>
                </c:pt>
                <c:pt idx="83">
                  <c:v>1597</c:v>
                </c:pt>
                <c:pt idx="84">
                  <c:v>1593</c:v>
                </c:pt>
                <c:pt idx="85">
                  <c:v>1594</c:v>
                </c:pt>
                <c:pt idx="86">
                  <c:v>1592</c:v>
                </c:pt>
                <c:pt idx="87">
                  <c:v>1595</c:v>
                </c:pt>
                <c:pt idx="88">
                  <c:v>1605.65</c:v>
                </c:pt>
                <c:pt idx="89">
                  <c:v>1617</c:v>
                </c:pt>
                <c:pt idx="90">
                  <c:v>1622.7</c:v>
                </c:pt>
                <c:pt idx="91">
                  <c:v>1631</c:v>
                </c:pt>
                <c:pt idx="92">
                  <c:v>1637</c:v>
                </c:pt>
                <c:pt idx="93">
                  <c:v>1641.6</c:v>
                </c:pt>
                <c:pt idx="94">
                  <c:v>1650</c:v>
                </c:pt>
                <c:pt idx="95">
                  <c:v>1662</c:v>
                </c:pt>
                <c:pt idx="96">
                  <c:v>1690</c:v>
                </c:pt>
                <c:pt idx="97">
                  <c:v>1739</c:v>
                </c:pt>
                <c:pt idx="98">
                  <c:v>1732</c:v>
                </c:pt>
                <c:pt idx="99">
                  <c:v>1731</c:v>
                </c:pt>
                <c:pt idx="100">
                  <c:v>1733.6</c:v>
                </c:pt>
                <c:pt idx="101">
                  <c:v>1739</c:v>
                </c:pt>
                <c:pt idx="102">
                  <c:v>1739</c:v>
                </c:pt>
                <c:pt idx="103">
                  <c:v>1742</c:v>
                </c:pt>
                <c:pt idx="104">
                  <c:v>1749</c:v>
                </c:pt>
                <c:pt idx="105">
                  <c:v>1763.884</c:v>
                </c:pt>
                <c:pt idx="106">
                  <c:v>1765.6179999999999</c:v>
                </c:pt>
                <c:pt idx="107">
                  <c:v>1734.702</c:v>
                </c:pt>
                <c:pt idx="108">
                  <c:v>1802.03</c:v>
                </c:pt>
                <c:pt idx="109">
                  <c:v>1792.384</c:v>
                </c:pt>
                <c:pt idx="110">
                  <c:v>1782.787</c:v>
                </c:pt>
                <c:pt idx="111">
                  <c:v>1774.0229999999999</c:v>
                </c:pt>
                <c:pt idx="112">
                  <c:v>1772.17</c:v>
                </c:pt>
                <c:pt idx="113">
                  <c:v>1770</c:v>
                </c:pt>
                <c:pt idx="114">
                  <c:v>1767</c:v>
                </c:pt>
                <c:pt idx="115">
                  <c:v>1760.6</c:v>
                </c:pt>
                <c:pt idx="116">
                  <c:v>1758</c:v>
                </c:pt>
                <c:pt idx="117">
                  <c:v>1751</c:v>
                </c:pt>
                <c:pt idx="118">
                  <c:v>1745.56</c:v>
                </c:pt>
                <c:pt idx="119">
                  <c:v>1739</c:v>
                </c:pt>
                <c:pt idx="120">
                  <c:v>1735</c:v>
                </c:pt>
                <c:pt idx="121">
                  <c:v>1733</c:v>
                </c:pt>
                <c:pt idx="122">
                  <c:v>1727</c:v>
                </c:pt>
                <c:pt idx="123">
                  <c:v>1721</c:v>
                </c:pt>
                <c:pt idx="124">
                  <c:v>1724</c:v>
                </c:pt>
                <c:pt idx="125">
                  <c:v>1705</c:v>
                </c:pt>
                <c:pt idx="126">
                  <c:v>1701</c:v>
                </c:pt>
                <c:pt idx="127">
                  <c:v>1699.84</c:v>
                </c:pt>
                <c:pt idx="128">
                  <c:v>1694</c:v>
                </c:pt>
                <c:pt idx="129">
                  <c:v>1687</c:v>
                </c:pt>
                <c:pt idx="130">
                  <c:v>1681</c:v>
                </c:pt>
                <c:pt idx="131">
                  <c:v>1679</c:v>
                </c:pt>
                <c:pt idx="132">
                  <c:v>1672</c:v>
                </c:pt>
                <c:pt idx="133">
                  <c:v>1681</c:v>
                </c:pt>
                <c:pt idx="134">
                  <c:v>1675</c:v>
                </c:pt>
                <c:pt idx="135">
                  <c:v>1670</c:v>
                </c:pt>
                <c:pt idx="136">
                  <c:v>1659</c:v>
                </c:pt>
                <c:pt idx="137">
                  <c:v>1657</c:v>
                </c:pt>
                <c:pt idx="138">
                  <c:v>1657</c:v>
                </c:pt>
                <c:pt idx="139">
                  <c:v>1661.5</c:v>
                </c:pt>
                <c:pt idx="140">
                  <c:v>1674.9749999999999</c:v>
                </c:pt>
                <c:pt idx="141">
                  <c:v>1678.4390000000001</c:v>
                </c:pt>
                <c:pt idx="142">
                  <c:v>1679.1410000000001</c:v>
                </c:pt>
                <c:pt idx="143">
                  <c:v>1677.2380000000001</c:v>
                </c:pt>
                <c:pt idx="144">
                  <c:v>1679.5519999999999</c:v>
                </c:pt>
                <c:pt idx="145">
                  <c:v>1680.1420000000001</c:v>
                </c:pt>
                <c:pt idx="146">
                  <c:v>1682</c:v>
                </c:pt>
                <c:pt idx="147">
                  <c:v>1676.8</c:v>
                </c:pt>
                <c:pt idx="148">
                  <c:v>1677</c:v>
                </c:pt>
                <c:pt idx="149">
                  <c:v>1681.7</c:v>
                </c:pt>
                <c:pt idx="150">
                  <c:v>1687</c:v>
                </c:pt>
                <c:pt idx="151">
                  <c:v>1689.3</c:v>
                </c:pt>
                <c:pt idx="152">
                  <c:v>1689.5</c:v>
                </c:pt>
                <c:pt idx="153">
                  <c:v>1692.23</c:v>
                </c:pt>
                <c:pt idx="154">
                  <c:v>1680</c:v>
                </c:pt>
                <c:pt idx="155">
                  <c:v>1672</c:v>
                </c:pt>
                <c:pt idx="156">
                  <c:v>1672</c:v>
                </c:pt>
                <c:pt idx="157">
                  <c:v>1677</c:v>
                </c:pt>
                <c:pt idx="158">
                  <c:v>1686</c:v>
                </c:pt>
                <c:pt idx="159">
                  <c:v>1687.7</c:v>
                </c:pt>
                <c:pt idx="160">
                  <c:v>1691</c:v>
                </c:pt>
                <c:pt idx="161">
                  <c:v>1697.6</c:v>
                </c:pt>
                <c:pt idx="162">
                  <c:v>1687.9</c:v>
                </c:pt>
                <c:pt idx="163">
                  <c:v>1685</c:v>
                </c:pt>
                <c:pt idx="164">
                  <c:v>1693.7</c:v>
                </c:pt>
                <c:pt idx="165">
                  <c:v>1694.6</c:v>
                </c:pt>
                <c:pt idx="166">
                  <c:v>1694</c:v>
                </c:pt>
                <c:pt idx="167">
                  <c:v>1719.48</c:v>
                </c:pt>
                <c:pt idx="168">
                  <c:v>1732.4</c:v>
                </c:pt>
                <c:pt idx="169">
                  <c:v>1726</c:v>
                </c:pt>
                <c:pt idx="170">
                  <c:v>1721.9</c:v>
                </c:pt>
                <c:pt idx="171">
                  <c:v>1726.2</c:v>
                </c:pt>
                <c:pt idx="172">
                  <c:v>1736.6</c:v>
                </c:pt>
                <c:pt idx="173">
                  <c:v>1731.6</c:v>
                </c:pt>
                <c:pt idx="174">
                  <c:v>1720.5</c:v>
                </c:pt>
                <c:pt idx="175">
                  <c:v>1716</c:v>
                </c:pt>
                <c:pt idx="176">
                  <c:v>1708.6</c:v>
                </c:pt>
                <c:pt idx="177">
                  <c:v>1698.4</c:v>
                </c:pt>
                <c:pt idx="178">
                  <c:v>1691.4</c:v>
                </c:pt>
                <c:pt idx="179">
                  <c:v>1687.45</c:v>
                </c:pt>
                <c:pt idx="180">
                  <c:v>1683.4</c:v>
                </c:pt>
                <c:pt idx="181">
                  <c:v>1684.0540000000001</c:v>
                </c:pt>
                <c:pt idx="182">
                  <c:v>1684</c:v>
                </c:pt>
                <c:pt idx="183">
                  <c:v>1686</c:v>
                </c:pt>
                <c:pt idx="184">
                  <c:v>1689</c:v>
                </c:pt>
                <c:pt idx="185">
                  <c:v>1689</c:v>
                </c:pt>
                <c:pt idx="186">
                  <c:v>1683</c:v>
                </c:pt>
                <c:pt idx="187">
                  <c:v>1674</c:v>
                </c:pt>
                <c:pt idx="188">
                  <c:v>1669</c:v>
                </c:pt>
                <c:pt idx="189">
                  <c:v>1676</c:v>
                </c:pt>
                <c:pt idx="190">
                  <c:v>1661.7</c:v>
                </c:pt>
                <c:pt idx="191">
                  <c:v>1661.35</c:v>
                </c:pt>
                <c:pt idx="192">
                  <c:v>1663.6</c:v>
                </c:pt>
                <c:pt idx="193">
                  <c:v>1668</c:v>
                </c:pt>
                <c:pt idx="194">
                  <c:v>1674.07</c:v>
                </c:pt>
                <c:pt idx="195">
                  <c:v>1670.76</c:v>
                </c:pt>
                <c:pt idx="196">
                  <c:v>1640.47</c:v>
                </c:pt>
                <c:pt idx="197">
                  <c:v>1665.32</c:v>
                </c:pt>
                <c:pt idx="198">
                  <c:v>1659.42</c:v>
                </c:pt>
                <c:pt idx="199">
                  <c:v>1653.57</c:v>
                </c:pt>
                <c:pt idx="200">
                  <c:v>1650.29</c:v>
                </c:pt>
                <c:pt idx="201">
                  <c:v>1646.36</c:v>
                </c:pt>
                <c:pt idx="202">
                  <c:v>1643.24</c:v>
                </c:pt>
                <c:pt idx="203">
                  <c:v>1641.46</c:v>
                </c:pt>
                <c:pt idx="204">
                  <c:v>1637.38</c:v>
                </c:pt>
                <c:pt idx="205">
                  <c:v>1622.68</c:v>
                </c:pt>
                <c:pt idx="206">
                  <c:v>1631.05</c:v>
                </c:pt>
                <c:pt idx="207">
                  <c:v>1626.32</c:v>
                </c:pt>
                <c:pt idx="208">
                  <c:v>1610.04</c:v>
                </c:pt>
                <c:pt idx="209">
                  <c:v>1593</c:v>
                </c:pt>
                <c:pt idx="210">
                  <c:v>1585</c:v>
                </c:pt>
                <c:pt idx="211">
                  <c:v>1570</c:v>
                </c:pt>
                <c:pt idx="212">
                  <c:v>1560</c:v>
                </c:pt>
                <c:pt idx="213">
                  <c:v>1555</c:v>
                </c:pt>
                <c:pt idx="214">
                  <c:v>1550</c:v>
                </c:pt>
                <c:pt idx="215">
                  <c:v>1545</c:v>
                </c:pt>
                <c:pt idx="216">
                  <c:v>1535</c:v>
                </c:pt>
                <c:pt idx="217">
                  <c:v>1520</c:v>
                </c:pt>
                <c:pt idx="218">
                  <c:v>1510</c:v>
                </c:pt>
                <c:pt idx="219">
                  <c:v>1499</c:v>
                </c:pt>
                <c:pt idx="220">
                  <c:v>1490</c:v>
                </c:pt>
                <c:pt idx="221">
                  <c:v>1478</c:v>
                </c:pt>
                <c:pt idx="222">
                  <c:v>1474</c:v>
                </c:pt>
                <c:pt idx="223">
                  <c:v>1463</c:v>
                </c:pt>
                <c:pt idx="224">
                  <c:v>1455.75</c:v>
                </c:pt>
                <c:pt idx="225">
                  <c:v>1450.76</c:v>
                </c:pt>
                <c:pt idx="226">
                  <c:v>1446.33</c:v>
                </c:pt>
                <c:pt idx="227">
                  <c:v>1441.69</c:v>
                </c:pt>
                <c:pt idx="228">
                  <c:v>1438.12</c:v>
                </c:pt>
                <c:pt idx="229">
                  <c:v>1434.58</c:v>
                </c:pt>
                <c:pt idx="230">
                  <c:v>1430.06</c:v>
                </c:pt>
                <c:pt idx="231">
                  <c:v>1423</c:v>
                </c:pt>
                <c:pt idx="232">
                  <c:v>1420</c:v>
                </c:pt>
                <c:pt idx="233">
                  <c:v>1412</c:v>
                </c:pt>
                <c:pt idx="234">
                  <c:v>1406</c:v>
                </c:pt>
                <c:pt idx="235">
                  <c:v>1401</c:v>
                </c:pt>
                <c:pt idx="236">
                  <c:v>1397</c:v>
                </c:pt>
                <c:pt idx="237">
                  <c:v>1389</c:v>
                </c:pt>
                <c:pt idx="238">
                  <c:v>1389.2750000000001</c:v>
                </c:pt>
                <c:pt idx="239">
                  <c:v>1389.491</c:v>
                </c:pt>
                <c:pt idx="240">
                  <c:v>1378.5</c:v>
                </c:pt>
                <c:pt idx="241">
                  <c:v>1370.712</c:v>
                </c:pt>
                <c:pt idx="242">
                  <c:v>1361</c:v>
                </c:pt>
                <c:pt idx="243">
                  <c:v>1370</c:v>
                </c:pt>
                <c:pt idx="244">
                  <c:v>1350.79</c:v>
                </c:pt>
                <c:pt idx="245">
                  <c:v>1341.39</c:v>
                </c:pt>
                <c:pt idx="246">
                  <c:v>1332.71</c:v>
                </c:pt>
                <c:pt idx="247">
                  <c:v>1326.75</c:v>
                </c:pt>
                <c:pt idx="248">
                  <c:v>1318.39</c:v>
                </c:pt>
                <c:pt idx="249">
                  <c:v>1310.04</c:v>
                </c:pt>
                <c:pt idx="250">
                  <c:v>1302.79</c:v>
                </c:pt>
                <c:pt idx="251">
                  <c:v>1286.2</c:v>
                </c:pt>
                <c:pt idx="252">
                  <c:v>1283</c:v>
                </c:pt>
                <c:pt idx="253">
                  <c:v>1275</c:v>
                </c:pt>
                <c:pt idx="254">
                  <c:v>1267</c:v>
                </c:pt>
                <c:pt idx="255">
                  <c:v>1259</c:v>
                </c:pt>
                <c:pt idx="256">
                  <c:v>1250</c:v>
                </c:pt>
                <c:pt idx="257">
                  <c:v>1241</c:v>
                </c:pt>
                <c:pt idx="258">
                  <c:v>1232</c:v>
                </c:pt>
                <c:pt idx="259">
                  <c:v>1211.2529999999999</c:v>
                </c:pt>
                <c:pt idx="260">
                  <c:v>1203.5709999999999</c:v>
                </c:pt>
                <c:pt idx="261">
                  <c:v>1182.797</c:v>
                </c:pt>
                <c:pt idx="262">
                  <c:v>1177.3440000000001</c:v>
                </c:pt>
                <c:pt idx="263">
                  <c:v>1169.374</c:v>
                </c:pt>
                <c:pt idx="264">
                  <c:v>1159.9259999999999</c:v>
                </c:pt>
                <c:pt idx="265">
                  <c:v>1150.8440000000001</c:v>
                </c:pt>
                <c:pt idx="266">
                  <c:v>1146</c:v>
                </c:pt>
                <c:pt idx="267">
                  <c:v>1138.54</c:v>
                </c:pt>
                <c:pt idx="268">
                  <c:v>1131.5999999999999</c:v>
                </c:pt>
                <c:pt idx="269">
                  <c:v>1119</c:v>
                </c:pt>
                <c:pt idx="270">
                  <c:v>1109.9000000000001</c:v>
                </c:pt>
                <c:pt idx="271">
                  <c:v>1098</c:v>
                </c:pt>
                <c:pt idx="272">
                  <c:v>1087.1199999999999</c:v>
                </c:pt>
                <c:pt idx="273">
                  <c:v>1087.08</c:v>
                </c:pt>
                <c:pt idx="274">
                  <c:v>1064.8599999999999</c:v>
                </c:pt>
                <c:pt idx="275">
                  <c:v>1056.0999999999999</c:v>
                </c:pt>
                <c:pt idx="276">
                  <c:v>1046.93</c:v>
                </c:pt>
                <c:pt idx="277">
                  <c:v>1037.18</c:v>
                </c:pt>
                <c:pt idx="278">
                  <c:v>1026.43</c:v>
                </c:pt>
                <c:pt idx="279">
                  <c:v>1015.48</c:v>
                </c:pt>
                <c:pt idx="280">
                  <c:v>1005.84</c:v>
                </c:pt>
                <c:pt idx="281">
                  <c:v>996.82</c:v>
                </c:pt>
                <c:pt idx="282">
                  <c:v>991.32</c:v>
                </c:pt>
                <c:pt idx="283">
                  <c:v>982.93</c:v>
                </c:pt>
                <c:pt idx="284">
                  <c:v>976</c:v>
                </c:pt>
                <c:pt idx="285">
                  <c:v>970</c:v>
                </c:pt>
                <c:pt idx="286">
                  <c:v>961</c:v>
                </c:pt>
                <c:pt idx="287">
                  <c:v>956.40300000000002</c:v>
                </c:pt>
                <c:pt idx="288">
                  <c:v>948.41600000000005</c:v>
                </c:pt>
                <c:pt idx="289">
                  <c:v>937.28499999999997</c:v>
                </c:pt>
                <c:pt idx="290">
                  <c:v>929.35500000000002</c:v>
                </c:pt>
                <c:pt idx="291">
                  <c:v>919.49</c:v>
                </c:pt>
                <c:pt idx="292">
                  <c:v>913.74</c:v>
                </c:pt>
                <c:pt idx="293">
                  <c:v>907.52</c:v>
                </c:pt>
                <c:pt idx="294">
                  <c:v>905.16700000000003</c:v>
                </c:pt>
                <c:pt idx="295">
                  <c:v>897.827</c:v>
                </c:pt>
                <c:pt idx="296">
                  <c:v>893.279</c:v>
                </c:pt>
                <c:pt idx="297">
                  <c:v>887.87400000000002</c:v>
                </c:pt>
                <c:pt idx="298">
                  <c:v>882.18100000000004</c:v>
                </c:pt>
                <c:pt idx="299">
                  <c:v>875.21</c:v>
                </c:pt>
                <c:pt idx="300">
                  <c:v>874.971</c:v>
                </c:pt>
                <c:pt idx="301">
                  <c:v>885.005</c:v>
                </c:pt>
                <c:pt idx="302">
                  <c:v>877.85400000000004</c:v>
                </c:pt>
                <c:pt idx="303">
                  <c:v>886.02</c:v>
                </c:pt>
                <c:pt idx="304">
                  <c:v>865.47900000000004</c:v>
                </c:pt>
                <c:pt idx="305">
                  <c:v>858.67100000000005</c:v>
                </c:pt>
                <c:pt idx="306">
                  <c:v>849.43399999999997</c:v>
                </c:pt>
                <c:pt idx="307">
                  <c:v>839.24699999999996</c:v>
                </c:pt>
                <c:pt idx="308">
                  <c:v>833.35</c:v>
                </c:pt>
                <c:pt idx="309">
                  <c:v>823.41</c:v>
                </c:pt>
                <c:pt idx="310">
                  <c:v>824.83</c:v>
                </c:pt>
                <c:pt idx="311">
                  <c:v>823.99699999999996</c:v>
                </c:pt>
                <c:pt idx="312">
                  <c:v>809.72199999999998</c:v>
                </c:pt>
                <c:pt idx="313">
                  <c:v>814.94399999999996</c:v>
                </c:pt>
                <c:pt idx="314">
                  <c:v>808.94</c:v>
                </c:pt>
                <c:pt idx="315">
                  <c:v>795.33600000000001</c:v>
                </c:pt>
                <c:pt idx="316">
                  <c:v>794.52300000000002</c:v>
                </c:pt>
                <c:pt idx="317">
                  <c:v>794.86800000000005</c:v>
                </c:pt>
                <c:pt idx="318">
                  <c:v>800.08199999999999</c:v>
                </c:pt>
                <c:pt idx="319">
                  <c:v>802.29100000000005</c:v>
                </c:pt>
                <c:pt idx="320">
                  <c:v>805.74699999999996</c:v>
                </c:pt>
                <c:pt idx="321">
                  <c:v>811.31200000000001</c:v>
                </c:pt>
                <c:pt idx="322">
                  <c:v>815.78399999999999</c:v>
                </c:pt>
                <c:pt idx="323">
                  <c:v>813.851</c:v>
                </c:pt>
                <c:pt idx="324">
                  <c:v>814</c:v>
                </c:pt>
                <c:pt idx="325">
                  <c:v>813.42700000000002</c:v>
                </c:pt>
                <c:pt idx="326">
                  <c:v>807.8</c:v>
                </c:pt>
                <c:pt idx="327">
                  <c:v>799.81299999999999</c:v>
                </c:pt>
                <c:pt idx="328">
                  <c:v>793.18100000000004</c:v>
                </c:pt>
                <c:pt idx="329">
                  <c:v>784</c:v>
                </c:pt>
                <c:pt idx="330">
                  <c:v>779</c:v>
                </c:pt>
                <c:pt idx="331">
                  <c:v>779</c:v>
                </c:pt>
                <c:pt idx="332">
                  <c:v>772</c:v>
                </c:pt>
                <c:pt idx="333">
                  <c:v>764</c:v>
                </c:pt>
                <c:pt idx="334">
                  <c:v>749</c:v>
                </c:pt>
                <c:pt idx="335">
                  <c:v>747</c:v>
                </c:pt>
                <c:pt idx="336">
                  <c:v>759.58</c:v>
                </c:pt>
                <c:pt idx="337">
                  <c:v>755.8</c:v>
                </c:pt>
                <c:pt idx="338">
                  <c:v>749.93</c:v>
                </c:pt>
                <c:pt idx="339">
                  <c:v>747.34</c:v>
                </c:pt>
                <c:pt idx="340">
                  <c:v>742.31700000000001</c:v>
                </c:pt>
                <c:pt idx="341">
                  <c:v>741.89599999999996</c:v>
                </c:pt>
                <c:pt idx="342">
                  <c:v>746.67700000000002</c:v>
                </c:pt>
                <c:pt idx="343">
                  <c:v>747.23800000000006</c:v>
                </c:pt>
                <c:pt idx="344">
                  <c:v>749.88599999999997</c:v>
                </c:pt>
                <c:pt idx="345">
                  <c:v>755.173</c:v>
                </c:pt>
                <c:pt idx="346">
                  <c:v>762.75099999999998</c:v>
                </c:pt>
                <c:pt idx="347">
                  <c:v>781.54200000000003</c:v>
                </c:pt>
                <c:pt idx="348">
                  <c:v>792.23900000000003</c:v>
                </c:pt>
                <c:pt idx="349">
                  <c:v>804.75699999999995</c:v>
                </c:pt>
                <c:pt idx="350">
                  <c:v>827.96600000000001</c:v>
                </c:pt>
                <c:pt idx="351">
                  <c:v>839.05700000000002</c:v>
                </c:pt>
                <c:pt idx="352">
                  <c:v>851.6</c:v>
                </c:pt>
                <c:pt idx="353">
                  <c:v>861.9</c:v>
                </c:pt>
                <c:pt idx="354">
                  <c:v>903.82</c:v>
                </c:pt>
                <c:pt idx="355">
                  <c:v>917.47900000000004</c:v>
                </c:pt>
                <c:pt idx="356">
                  <c:v>955.08600000000001</c:v>
                </c:pt>
                <c:pt idx="357">
                  <c:v>990.5</c:v>
                </c:pt>
                <c:pt idx="358">
                  <c:v>1009.186</c:v>
                </c:pt>
                <c:pt idx="359">
                  <c:v>1025.48</c:v>
                </c:pt>
                <c:pt idx="360">
                  <c:v>1030.154</c:v>
                </c:pt>
                <c:pt idx="361">
                  <c:v>1030.2539999999999</c:v>
                </c:pt>
                <c:pt idx="362">
                  <c:v>1028.6769999999999</c:v>
                </c:pt>
                <c:pt idx="363">
                  <c:v>1027.288</c:v>
                </c:pt>
                <c:pt idx="364">
                  <c:v>1019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percentage"/>
            <c:noEndCap val="1"/>
            <c:val val="5000"/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cat>
            <c:numRef>
              <c:f>'[10]2013'!$BN$66:$BN$430</c:f>
              <c:numCache>
                <c:formatCode>General</c:formatCode>
                <c:ptCount val="36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  <c:pt idx="14">
                  <c:v>41289</c:v>
                </c:pt>
                <c:pt idx="15">
                  <c:v>41290</c:v>
                </c:pt>
                <c:pt idx="16">
                  <c:v>41291</c:v>
                </c:pt>
                <c:pt idx="17">
                  <c:v>41292</c:v>
                </c:pt>
                <c:pt idx="18">
                  <c:v>41293</c:v>
                </c:pt>
                <c:pt idx="19">
                  <c:v>41294</c:v>
                </c:pt>
                <c:pt idx="20">
                  <c:v>41295</c:v>
                </c:pt>
                <c:pt idx="21">
                  <c:v>41296</c:v>
                </c:pt>
                <c:pt idx="22">
                  <c:v>41297</c:v>
                </c:pt>
                <c:pt idx="23">
                  <c:v>41298</c:v>
                </c:pt>
                <c:pt idx="24">
                  <c:v>41299</c:v>
                </c:pt>
                <c:pt idx="25">
                  <c:v>41300</c:v>
                </c:pt>
                <c:pt idx="26">
                  <c:v>41301</c:v>
                </c:pt>
                <c:pt idx="27">
                  <c:v>41302</c:v>
                </c:pt>
                <c:pt idx="28">
                  <c:v>41303</c:v>
                </c:pt>
                <c:pt idx="29">
                  <c:v>41304</c:v>
                </c:pt>
                <c:pt idx="30">
                  <c:v>41305</c:v>
                </c:pt>
                <c:pt idx="31">
                  <c:v>41306</c:v>
                </c:pt>
                <c:pt idx="32">
                  <c:v>41307</c:v>
                </c:pt>
                <c:pt idx="33">
                  <c:v>41308</c:v>
                </c:pt>
                <c:pt idx="34">
                  <c:v>41309</c:v>
                </c:pt>
                <c:pt idx="35">
                  <c:v>41310</c:v>
                </c:pt>
                <c:pt idx="36">
                  <c:v>41311</c:v>
                </c:pt>
                <c:pt idx="37">
                  <c:v>41312</c:v>
                </c:pt>
                <c:pt idx="38">
                  <c:v>41313</c:v>
                </c:pt>
                <c:pt idx="39">
                  <c:v>41314</c:v>
                </c:pt>
                <c:pt idx="40">
                  <c:v>41315</c:v>
                </c:pt>
                <c:pt idx="41">
                  <c:v>41316</c:v>
                </c:pt>
                <c:pt idx="42">
                  <c:v>41317</c:v>
                </c:pt>
                <c:pt idx="43">
                  <c:v>41318</c:v>
                </c:pt>
                <c:pt idx="44">
                  <c:v>41319</c:v>
                </c:pt>
                <c:pt idx="45">
                  <c:v>41320</c:v>
                </c:pt>
                <c:pt idx="46">
                  <c:v>41321</c:v>
                </c:pt>
                <c:pt idx="47">
                  <c:v>41322</c:v>
                </c:pt>
                <c:pt idx="48">
                  <c:v>41323</c:v>
                </c:pt>
                <c:pt idx="49">
                  <c:v>41324</c:v>
                </c:pt>
                <c:pt idx="50">
                  <c:v>41325</c:v>
                </c:pt>
                <c:pt idx="51">
                  <c:v>41326</c:v>
                </c:pt>
                <c:pt idx="52">
                  <c:v>41327</c:v>
                </c:pt>
                <c:pt idx="53">
                  <c:v>41328</c:v>
                </c:pt>
                <c:pt idx="54">
                  <c:v>41329</c:v>
                </c:pt>
                <c:pt idx="55">
                  <c:v>41330</c:v>
                </c:pt>
                <c:pt idx="56">
                  <c:v>41331</c:v>
                </c:pt>
                <c:pt idx="57">
                  <c:v>41332</c:v>
                </c:pt>
                <c:pt idx="58">
                  <c:v>41333</c:v>
                </c:pt>
                <c:pt idx="59">
                  <c:v>41334</c:v>
                </c:pt>
                <c:pt idx="60">
                  <c:v>41335</c:v>
                </c:pt>
                <c:pt idx="61">
                  <c:v>41336</c:v>
                </c:pt>
                <c:pt idx="62">
                  <c:v>41337</c:v>
                </c:pt>
                <c:pt idx="63">
                  <c:v>41338</c:v>
                </c:pt>
                <c:pt idx="64">
                  <c:v>41339</c:v>
                </c:pt>
                <c:pt idx="65">
                  <c:v>41340</c:v>
                </c:pt>
                <c:pt idx="66">
                  <c:v>41341</c:v>
                </c:pt>
                <c:pt idx="67">
                  <c:v>41342</c:v>
                </c:pt>
                <c:pt idx="68">
                  <c:v>41343</c:v>
                </c:pt>
                <c:pt idx="69">
                  <c:v>41344</c:v>
                </c:pt>
                <c:pt idx="70">
                  <c:v>41345</c:v>
                </c:pt>
                <c:pt idx="71">
                  <c:v>41346</c:v>
                </c:pt>
                <c:pt idx="72">
                  <c:v>41347</c:v>
                </c:pt>
                <c:pt idx="73">
                  <c:v>41348</c:v>
                </c:pt>
                <c:pt idx="74">
                  <c:v>41349</c:v>
                </c:pt>
                <c:pt idx="75">
                  <c:v>41350</c:v>
                </c:pt>
                <c:pt idx="76">
                  <c:v>41351</c:v>
                </c:pt>
                <c:pt idx="77">
                  <c:v>41352</c:v>
                </c:pt>
                <c:pt idx="78">
                  <c:v>41353</c:v>
                </c:pt>
                <c:pt idx="79">
                  <c:v>41354</c:v>
                </c:pt>
                <c:pt idx="80">
                  <c:v>41355</c:v>
                </c:pt>
                <c:pt idx="81">
                  <c:v>41356</c:v>
                </c:pt>
                <c:pt idx="82">
                  <c:v>41357</c:v>
                </c:pt>
                <c:pt idx="83">
                  <c:v>41358</c:v>
                </c:pt>
                <c:pt idx="84">
                  <c:v>41359</c:v>
                </c:pt>
                <c:pt idx="85">
                  <c:v>41360</c:v>
                </c:pt>
                <c:pt idx="86">
                  <c:v>41361</c:v>
                </c:pt>
                <c:pt idx="87">
                  <c:v>41362</c:v>
                </c:pt>
                <c:pt idx="88">
                  <c:v>41363</c:v>
                </c:pt>
                <c:pt idx="89">
                  <c:v>41364</c:v>
                </c:pt>
                <c:pt idx="90">
                  <c:v>41365</c:v>
                </c:pt>
                <c:pt idx="91">
                  <c:v>41366</c:v>
                </c:pt>
                <c:pt idx="92">
                  <c:v>41367</c:v>
                </c:pt>
                <c:pt idx="93">
                  <c:v>41368</c:v>
                </c:pt>
                <c:pt idx="94">
                  <c:v>41369</c:v>
                </c:pt>
                <c:pt idx="95">
                  <c:v>41370</c:v>
                </c:pt>
                <c:pt idx="96">
                  <c:v>41371</c:v>
                </c:pt>
                <c:pt idx="97">
                  <c:v>41372</c:v>
                </c:pt>
                <c:pt idx="98">
                  <c:v>41373</c:v>
                </c:pt>
                <c:pt idx="99">
                  <c:v>41374</c:v>
                </c:pt>
                <c:pt idx="100">
                  <c:v>41375</c:v>
                </c:pt>
                <c:pt idx="101">
                  <c:v>41376</c:v>
                </c:pt>
                <c:pt idx="102">
                  <c:v>41377</c:v>
                </c:pt>
                <c:pt idx="103">
                  <c:v>41378</c:v>
                </c:pt>
                <c:pt idx="104">
                  <c:v>41379</c:v>
                </c:pt>
                <c:pt idx="105">
                  <c:v>41380</c:v>
                </c:pt>
                <c:pt idx="106">
                  <c:v>41381</c:v>
                </c:pt>
                <c:pt idx="107">
                  <c:v>41382</c:v>
                </c:pt>
                <c:pt idx="108">
                  <c:v>41383</c:v>
                </c:pt>
                <c:pt idx="109">
                  <c:v>41384</c:v>
                </c:pt>
                <c:pt idx="110">
                  <c:v>41385</c:v>
                </c:pt>
                <c:pt idx="111">
                  <c:v>41386</c:v>
                </c:pt>
                <c:pt idx="112">
                  <c:v>41387</c:v>
                </c:pt>
                <c:pt idx="113">
                  <c:v>41388</c:v>
                </c:pt>
                <c:pt idx="114">
                  <c:v>41389</c:v>
                </c:pt>
                <c:pt idx="115">
                  <c:v>41390</c:v>
                </c:pt>
                <c:pt idx="116">
                  <c:v>41391</c:v>
                </c:pt>
                <c:pt idx="117">
                  <c:v>41392</c:v>
                </c:pt>
                <c:pt idx="118">
                  <c:v>41393</c:v>
                </c:pt>
                <c:pt idx="119">
                  <c:v>41394</c:v>
                </c:pt>
                <c:pt idx="120">
                  <c:v>41395</c:v>
                </c:pt>
                <c:pt idx="121">
                  <c:v>41396</c:v>
                </c:pt>
                <c:pt idx="122">
                  <c:v>41397</c:v>
                </c:pt>
                <c:pt idx="123">
                  <c:v>41398</c:v>
                </c:pt>
                <c:pt idx="124">
                  <c:v>41399</c:v>
                </c:pt>
                <c:pt idx="125">
                  <c:v>41400</c:v>
                </c:pt>
                <c:pt idx="126">
                  <c:v>41401</c:v>
                </c:pt>
                <c:pt idx="127">
                  <c:v>41402</c:v>
                </c:pt>
                <c:pt idx="128">
                  <c:v>41403</c:v>
                </c:pt>
                <c:pt idx="129">
                  <c:v>41404</c:v>
                </c:pt>
                <c:pt idx="130">
                  <c:v>41405</c:v>
                </c:pt>
                <c:pt idx="131">
                  <c:v>41406</c:v>
                </c:pt>
                <c:pt idx="132">
                  <c:v>41407</c:v>
                </c:pt>
                <c:pt idx="133">
                  <c:v>41408</c:v>
                </c:pt>
                <c:pt idx="134">
                  <c:v>41409</c:v>
                </c:pt>
                <c:pt idx="135">
                  <c:v>41410</c:v>
                </c:pt>
                <c:pt idx="136">
                  <c:v>41411</c:v>
                </c:pt>
                <c:pt idx="137">
                  <c:v>41412</c:v>
                </c:pt>
                <c:pt idx="138">
                  <c:v>41413</c:v>
                </c:pt>
                <c:pt idx="139">
                  <c:v>41414</c:v>
                </c:pt>
                <c:pt idx="140">
                  <c:v>41415</c:v>
                </c:pt>
                <c:pt idx="141">
                  <c:v>41416</c:v>
                </c:pt>
                <c:pt idx="142">
                  <c:v>41417</c:v>
                </c:pt>
                <c:pt idx="143">
                  <c:v>41418</c:v>
                </c:pt>
                <c:pt idx="144">
                  <c:v>41419</c:v>
                </c:pt>
                <c:pt idx="145">
                  <c:v>41420</c:v>
                </c:pt>
                <c:pt idx="146">
                  <c:v>41421</c:v>
                </c:pt>
                <c:pt idx="147">
                  <c:v>41422</c:v>
                </c:pt>
                <c:pt idx="148">
                  <c:v>41423</c:v>
                </c:pt>
                <c:pt idx="149">
                  <c:v>41424</c:v>
                </c:pt>
                <c:pt idx="150">
                  <c:v>41425</c:v>
                </c:pt>
                <c:pt idx="151">
                  <c:v>41426</c:v>
                </c:pt>
                <c:pt idx="152">
                  <c:v>41427</c:v>
                </c:pt>
                <c:pt idx="153">
                  <c:v>41428</c:v>
                </c:pt>
                <c:pt idx="154">
                  <c:v>41429</c:v>
                </c:pt>
                <c:pt idx="155">
                  <c:v>41430</c:v>
                </c:pt>
                <c:pt idx="156">
                  <c:v>41431</c:v>
                </c:pt>
                <c:pt idx="157">
                  <c:v>41432</c:v>
                </c:pt>
                <c:pt idx="158">
                  <c:v>41433</c:v>
                </c:pt>
                <c:pt idx="159">
                  <c:v>41434</c:v>
                </c:pt>
                <c:pt idx="160">
                  <c:v>41435</c:v>
                </c:pt>
                <c:pt idx="161">
                  <c:v>41436</c:v>
                </c:pt>
                <c:pt idx="162">
                  <c:v>41437</c:v>
                </c:pt>
                <c:pt idx="163">
                  <c:v>41438</c:v>
                </c:pt>
                <c:pt idx="164">
                  <c:v>41439</c:v>
                </c:pt>
                <c:pt idx="165">
                  <c:v>41440</c:v>
                </c:pt>
                <c:pt idx="166">
                  <c:v>41441</c:v>
                </c:pt>
                <c:pt idx="167">
                  <c:v>41442</c:v>
                </c:pt>
                <c:pt idx="168">
                  <c:v>41443</c:v>
                </c:pt>
                <c:pt idx="169">
                  <c:v>41444</c:v>
                </c:pt>
                <c:pt idx="170">
                  <c:v>41445</c:v>
                </c:pt>
                <c:pt idx="171">
                  <c:v>41446</c:v>
                </c:pt>
                <c:pt idx="172">
                  <c:v>41447</c:v>
                </c:pt>
                <c:pt idx="173">
                  <c:v>41448</c:v>
                </c:pt>
                <c:pt idx="174">
                  <c:v>41449</c:v>
                </c:pt>
                <c:pt idx="175">
                  <c:v>41450</c:v>
                </c:pt>
                <c:pt idx="176">
                  <c:v>41451</c:v>
                </c:pt>
                <c:pt idx="177">
                  <c:v>41452</c:v>
                </c:pt>
                <c:pt idx="178">
                  <c:v>41453</c:v>
                </c:pt>
                <c:pt idx="179">
                  <c:v>41454</c:v>
                </c:pt>
                <c:pt idx="180">
                  <c:v>41455</c:v>
                </c:pt>
                <c:pt idx="181">
                  <c:v>41456</c:v>
                </c:pt>
                <c:pt idx="182">
                  <c:v>41457</c:v>
                </c:pt>
                <c:pt idx="183">
                  <c:v>41458</c:v>
                </c:pt>
                <c:pt idx="184">
                  <c:v>41459</c:v>
                </c:pt>
                <c:pt idx="185">
                  <c:v>41460</c:v>
                </c:pt>
                <c:pt idx="186">
                  <c:v>41461</c:v>
                </c:pt>
                <c:pt idx="187">
                  <c:v>41462</c:v>
                </c:pt>
                <c:pt idx="188">
                  <c:v>41463</c:v>
                </c:pt>
                <c:pt idx="189">
                  <c:v>41464</c:v>
                </c:pt>
                <c:pt idx="190">
                  <c:v>41465</c:v>
                </c:pt>
                <c:pt idx="191">
                  <c:v>41466</c:v>
                </c:pt>
                <c:pt idx="192">
                  <c:v>41467</c:v>
                </c:pt>
                <c:pt idx="193">
                  <c:v>41468</c:v>
                </c:pt>
                <c:pt idx="194">
                  <c:v>41469</c:v>
                </c:pt>
                <c:pt idx="195">
                  <c:v>41470</c:v>
                </c:pt>
                <c:pt idx="196">
                  <c:v>41471</c:v>
                </c:pt>
                <c:pt idx="197">
                  <c:v>41472</c:v>
                </c:pt>
                <c:pt idx="198">
                  <c:v>41473</c:v>
                </c:pt>
                <c:pt idx="199">
                  <c:v>41474</c:v>
                </c:pt>
                <c:pt idx="200">
                  <c:v>41475</c:v>
                </c:pt>
                <c:pt idx="201">
                  <c:v>41476</c:v>
                </c:pt>
                <c:pt idx="202">
                  <c:v>41477</c:v>
                </c:pt>
                <c:pt idx="203">
                  <c:v>41478</c:v>
                </c:pt>
                <c:pt idx="204">
                  <c:v>41479</c:v>
                </c:pt>
                <c:pt idx="205">
                  <c:v>41480</c:v>
                </c:pt>
                <c:pt idx="206">
                  <c:v>41481</c:v>
                </c:pt>
                <c:pt idx="207">
                  <c:v>41482</c:v>
                </c:pt>
                <c:pt idx="208">
                  <c:v>41483</c:v>
                </c:pt>
                <c:pt idx="209">
                  <c:v>41484</c:v>
                </c:pt>
                <c:pt idx="210">
                  <c:v>41485</c:v>
                </c:pt>
                <c:pt idx="211">
                  <c:v>41486</c:v>
                </c:pt>
                <c:pt idx="212">
                  <c:v>41487</c:v>
                </c:pt>
                <c:pt idx="213">
                  <c:v>41488</c:v>
                </c:pt>
                <c:pt idx="214">
                  <c:v>41489</c:v>
                </c:pt>
                <c:pt idx="215">
                  <c:v>41490</c:v>
                </c:pt>
                <c:pt idx="216">
                  <c:v>41491</c:v>
                </c:pt>
                <c:pt idx="217">
                  <c:v>41492</c:v>
                </c:pt>
                <c:pt idx="218">
                  <c:v>41493</c:v>
                </c:pt>
                <c:pt idx="219">
                  <c:v>41494</c:v>
                </c:pt>
                <c:pt idx="220">
                  <c:v>41495</c:v>
                </c:pt>
                <c:pt idx="221">
                  <c:v>41496</c:v>
                </c:pt>
                <c:pt idx="222">
                  <c:v>41497</c:v>
                </c:pt>
                <c:pt idx="223">
                  <c:v>41498</c:v>
                </c:pt>
                <c:pt idx="224">
                  <c:v>41499</c:v>
                </c:pt>
                <c:pt idx="225">
                  <c:v>41500</c:v>
                </c:pt>
                <c:pt idx="226">
                  <c:v>41501</c:v>
                </c:pt>
                <c:pt idx="227">
                  <c:v>41502</c:v>
                </c:pt>
                <c:pt idx="228">
                  <c:v>41503</c:v>
                </c:pt>
                <c:pt idx="229">
                  <c:v>41504</c:v>
                </c:pt>
                <c:pt idx="230">
                  <c:v>41505</c:v>
                </c:pt>
                <c:pt idx="231">
                  <c:v>41506</c:v>
                </c:pt>
                <c:pt idx="232">
                  <c:v>41507</c:v>
                </c:pt>
                <c:pt idx="233">
                  <c:v>41508</c:v>
                </c:pt>
                <c:pt idx="234">
                  <c:v>41509</c:v>
                </c:pt>
                <c:pt idx="235">
                  <c:v>41510</c:v>
                </c:pt>
                <c:pt idx="236">
                  <c:v>41511</c:v>
                </c:pt>
                <c:pt idx="237">
                  <c:v>41512</c:v>
                </c:pt>
                <c:pt idx="238">
                  <c:v>41513</c:v>
                </c:pt>
                <c:pt idx="239">
                  <c:v>41514</c:v>
                </c:pt>
                <c:pt idx="240">
                  <c:v>41515</c:v>
                </c:pt>
                <c:pt idx="241">
                  <c:v>41516</c:v>
                </c:pt>
                <c:pt idx="242">
                  <c:v>41517</c:v>
                </c:pt>
                <c:pt idx="243">
                  <c:v>41518</c:v>
                </c:pt>
                <c:pt idx="244">
                  <c:v>41519</c:v>
                </c:pt>
                <c:pt idx="245">
                  <c:v>41520</c:v>
                </c:pt>
                <c:pt idx="246">
                  <c:v>41521</c:v>
                </c:pt>
                <c:pt idx="247">
                  <c:v>41522</c:v>
                </c:pt>
                <c:pt idx="248">
                  <c:v>41523</c:v>
                </c:pt>
                <c:pt idx="249">
                  <c:v>41524</c:v>
                </c:pt>
                <c:pt idx="250">
                  <c:v>41525</c:v>
                </c:pt>
                <c:pt idx="251">
                  <c:v>41526</c:v>
                </c:pt>
                <c:pt idx="252">
                  <c:v>41527</c:v>
                </c:pt>
                <c:pt idx="253">
                  <c:v>41528</c:v>
                </c:pt>
                <c:pt idx="254">
                  <c:v>41529</c:v>
                </c:pt>
                <c:pt idx="255">
                  <c:v>41530</c:v>
                </c:pt>
                <c:pt idx="256">
                  <c:v>41531</c:v>
                </c:pt>
                <c:pt idx="257">
                  <c:v>41532</c:v>
                </c:pt>
                <c:pt idx="258">
                  <c:v>41533</c:v>
                </c:pt>
                <c:pt idx="259">
                  <c:v>41534</c:v>
                </c:pt>
                <c:pt idx="260">
                  <c:v>41535</c:v>
                </c:pt>
                <c:pt idx="261">
                  <c:v>41536</c:v>
                </c:pt>
                <c:pt idx="262">
                  <c:v>41537</c:v>
                </c:pt>
                <c:pt idx="263">
                  <c:v>41538</c:v>
                </c:pt>
                <c:pt idx="264">
                  <c:v>41539</c:v>
                </c:pt>
                <c:pt idx="265">
                  <c:v>41540</c:v>
                </c:pt>
                <c:pt idx="266">
                  <c:v>41541</c:v>
                </c:pt>
                <c:pt idx="267">
                  <c:v>41542</c:v>
                </c:pt>
                <c:pt idx="268">
                  <c:v>41543</c:v>
                </c:pt>
                <c:pt idx="269">
                  <c:v>41544</c:v>
                </c:pt>
                <c:pt idx="270">
                  <c:v>41545</c:v>
                </c:pt>
                <c:pt idx="271">
                  <c:v>41546</c:v>
                </c:pt>
                <c:pt idx="272">
                  <c:v>41547</c:v>
                </c:pt>
                <c:pt idx="273">
                  <c:v>41548</c:v>
                </c:pt>
                <c:pt idx="274">
                  <c:v>41549</c:v>
                </c:pt>
                <c:pt idx="275">
                  <c:v>41550</c:v>
                </c:pt>
                <c:pt idx="276">
                  <c:v>41551</c:v>
                </c:pt>
                <c:pt idx="277">
                  <c:v>41552</c:v>
                </c:pt>
                <c:pt idx="278">
                  <c:v>41553</c:v>
                </c:pt>
                <c:pt idx="279">
                  <c:v>41554</c:v>
                </c:pt>
                <c:pt idx="280">
                  <c:v>41555</c:v>
                </c:pt>
                <c:pt idx="281">
                  <c:v>41556</c:v>
                </c:pt>
                <c:pt idx="282">
                  <c:v>41557</c:v>
                </c:pt>
                <c:pt idx="283">
                  <c:v>41558</c:v>
                </c:pt>
                <c:pt idx="284">
                  <c:v>41559</c:v>
                </c:pt>
                <c:pt idx="285">
                  <c:v>41560</c:v>
                </c:pt>
                <c:pt idx="286">
                  <c:v>41561</c:v>
                </c:pt>
                <c:pt idx="287">
                  <c:v>41562</c:v>
                </c:pt>
                <c:pt idx="288">
                  <c:v>41563</c:v>
                </c:pt>
                <c:pt idx="289">
                  <c:v>41564</c:v>
                </c:pt>
                <c:pt idx="290">
                  <c:v>41565</c:v>
                </c:pt>
                <c:pt idx="291">
                  <c:v>41566</c:v>
                </c:pt>
                <c:pt idx="292">
                  <c:v>41567</c:v>
                </c:pt>
                <c:pt idx="293">
                  <c:v>41568</c:v>
                </c:pt>
                <c:pt idx="294">
                  <c:v>41569</c:v>
                </c:pt>
                <c:pt idx="295">
                  <c:v>41570</c:v>
                </c:pt>
                <c:pt idx="296">
                  <c:v>41571</c:v>
                </c:pt>
                <c:pt idx="297">
                  <c:v>41572</c:v>
                </c:pt>
                <c:pt idx="298">
                  <c:v>41573</c:v>
                </c:pt>
                <c:pt idx="299">
                  <c:v>41574</c:v>
                </c:pt>
                <c:pt idx="300">
                  <c:v>41575</c:v>
                </c:pt>
                <c:pt idx="301">
                  <c:v>41576</c:v>
                </c:pt>
                <c:pt idx="302">
                  <c:v>41577</c:v>
                </c:pt>
                <c:pt idx="303">
                  <c:v>41578</c:v>
                </c:pt>
                <c:pt idx="304">
                  <c:v>41579</c:v>
                </c:pt>
                <c:pt idx="305">
                  <c:v>41580</c:v>
                </c:pt>
                <c:pt idx="306">
                  <c:v>41581</c:v>
                </c:pt>
                <c:pt idx="307">
                  <c:v>41582</c:v>
                </c:pt>
                <c:pt idx="308">
                  <c:v>41583</c:v>
                </c:pt>
                <c:pt idx="309">
                  <c:v>41584</c:v>
                </c:pt>
                <c:pt idx="310">
                  <c:v>41585</c:v>
                </c:pt>
                <c:pt idx="311">
                  <c:v>41586</c:v>
                </c:pt>
                <c:pt idx="312">
                  <c:v>41587</c:v>
                </c:pt>
                <c:pt idx="313">
                  <c:v>41588</c:v>
                </c:pt>
                <c:pt idx="314">
                  <c:v>41589</c:v>
                </c:pt>
                <c:pt idx="315">
                  <c:v>41590</c:v>
                </c:pt>
                <c:pt idx="316">
                  <c:v>41591</c:v>
                </c:pt>
                <c:pt idx="317">
                  <c:v>41592</c:v>
                </c:pt>
                <c:pt idx="318">
                  <c:v>41593</c:v>
                </c:pt>
                <c:pt idx="319">
                  <c:v>41594</c:v>
                </c:pt>
                <c:pt idx="320">
                  <c:v>41595</c:v>
                </c:pt>
                <c:pt idx="321">
                  <c:v>41596</c:v>
                </c:pt>
                <c:pt idx="322">
                  <c:v>41597</c:v>
                </c:pt>
                <c:pt idx="323">
                  <c:v>41598</c:v>
                </c:pt>
                <c:pt idx="324">
                  <c:v>41599</c:v>
                </c:pt>
                <c:pt idx="325">
                  <c:v>41600</c:v>
                </c:pt>
                <c:pt idx="326">
                  <c:v>41601</c:v>
                </c:pt>
                <c:pt idx="327">
                  <c:v>41602</c:v>
                </c:pt>
                <c:pt idx="328">
                  <c:v>41603</c:v>
                </c:pt>
                <c:pt idx="329">
                  <c:v>41604</c:v>
                </c:pt>
                <c:pt idx="330">
                  <c:v>41605</c:v>
                </c:pt>
                <c:pt idx="331">
                  <c:v>41606</c:v>
                </c:pt>
                <c:pt idx="332">
                  <c:v>41607</c:v>
                </c:pt>
                <c:pt idx="333">
                  <c:v>41608</c:v>
                </c:pt>
                <c:pt idx="334">
                  <c:v>41609</c:v>
                </c:pt>
                <c:pt idx="335">
                  <c:v>41610</c:v>
                </c:pt>
                <c:pt idx="336">
                  <c:v>41611</c:v>
                </c:pt>
                <c:pt idx="337">
                  <c:v>41612</c:v>
                </c:pt>
                <c:pt idx="338">
                  <c:v>41613</c:v>
                </c:pt>
                <c:pt idx="339">
                  <c:v>41614</c:v>
                </c:pt>
                <c:pt idx="340">
                  <c:v>41615</c:v>
                </c:pt>
                <c:pt idx="341">
                  <c:v>41616</c:v>
                </c:pt>
                <c:pt idx="342">
                  <c:v>41617</c:v>
                </c:pt>
                <c:pt idx="343">
                  <c:v>41618</c:v>
                </c:pt>
                <c:pt idx="344">
                  <c:v>41619</c:v>
                </c:pt>
                <c:pt idx="345">
                  <c:v>41620</c:v>
                </c:pt>
                <c:pt idx="346">
                  <c:v>41621</c:v>
                </c:pt>
                <c:pt idx="347">
                  <c:v>41622</c:v>
                </c:pt>
                <c:pt idx="348">
                  <c:v>41623</c:v>
                </c:pt>
                <c:pt idx="349">
                  <c:v>41624</c:v>
                </c:pt>
                <c:pt idx="350">
                  <c:v>41625</c:v>
                </c:pt>
                <c:pt idx="351">
                  <c:v>41626</c:v>
                </c:pt>
                <c:pt idx="352">
                  <c:v>41627</c:v>
                </c:pt>
                <c:pt idx="353">
                  <c:v>41628</c:v>
                </c:pt>
                <c:pt idx="354">
                  <c:v>41629</c:v>
                </c:pt>
                <c:pt idx="355">
                  <c:v>41630</c:v>
                </c:pt>
                <c:pt idx="356">
                  <c:v>41631</c:v>
                </c:pt>
                <c:pt idx="357">
                  <c:v>41632</c:v>
                </c:pt>
                <c:pt idx="358">
                  <c:v>41633</c:v>
                </c:pt>
                <c:pt idx="359">
                  <c:v>41634</c:v>
                </c:pt>
                <c:pt idx="360">
                  <c:v>41635</c:v>
                </c:pt>
                <c:pt idx="361">
                  <c:v>41636</c:v>
                </c:pt>
                <c:pt idx="362">
                  <c:v>41637</c:v>
                </c:pt>
                <c:pt idx="363">
                  <c:v>41638</c:v>
                </c:pt>
                <c:pt idx="364">
                  <c:v>41639</c:v>
                </c:pt>
              </c:numCache>
            </c:numRef>
          </c:cat>
          <c:val>
            <c:numRef>
              <c:f>'[10]2013'!$BP$66:$BP$430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</c:ser>
        <c:marker val="1"/>
        <c:axId val="128830464"/>
        <c:axId val="129024768"/>
      </c:lineChart>
      <c:dateAx>
        <c:axId val="12883046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24768"/>
        <c:crosses val="autoZero"/>
        <c:lblOffset val="100"/>
        <c:baseTimeUnit val="days"/>
        <c:majorUnit val="1"/>
        <c:majorTimeUnit val="months"/>
        <c:minorUnit val="1"/>
        <c:minorTimeUnit val="months"/>
      </c:dateAx>
      <c:valAx>
        <c:axId val="129024768"/>
        <c:scaling>
          <c:orientation val="minMax"/>
          <c:max val="1850"/>
          <c:min val="500"/>
        </c:scaling>
        <c:axPos val="l"/>
        <c:majorGrid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Debit (m</a:t>
                </a:r>
                <a:r>
                  <a:rPr lang="en-US" sz="8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/det)</a:t>
                </a:r>
              </a:p>
            </c:rich>
          </c:tx>
          <c:layout>
            <c:manualLayout>
              <c:xMode val="edge"/>
              <c:yMode val="edge"/>
              <c:x val="1.9083426379820623E-2"/>
              <c:y val="0.476340802624068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3046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5128900949796523E-2"/>
          <c:y val="6.8536034048974556E-2"/>
          <c:w val="0.92130257801899551"/>
          <c:h val="0.75701164881367256"/>
        </c:manualLayout>
      </c:layout>
      <c:barChart>
        <c:barDir val="col"/>
        <c:grouping val="clustered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'[10]2013'!$AZ$15:$BK$15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Ags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'[10]2013'!$AZ$50:$BK$50</c:f>
              <c:numCache>
                <c:formatCode>General</c:formatCode>
                <c:ptCount val="12"/>
                <c:pt idx="0">
                  <c:v>1175.662</c:v>
                </c:pt>
                <c:pt idx="1">
                  <c:v>1374.25</c:v>
                </c:pt>
                <c:pt idx="2">
                  <c:v>1546.117741935484</c:v>
                </c:pt>
                <c:pt idx="3">
                  <c:v>1730.5885999999996</c:v>
                </c:pt>
                <c:pt idx="4">
                  <c:v>1686.8815161290322</c:v>
                </c:pt>
                <c:pt idx="5">
                  <c:v>1699.6486666666667</c:v>
                </c:pt>
                <c:pt idx="6">
                  <c:v>1183.6194838709678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29078784"/>
        <c:axId val="129080704"/>
      </c:barChart>
      <c:lineChart>
        <c:grouping val="standard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'[10]2013'!$AZ$15:$BK$15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Ags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'[10]2013'!$AZ$49:$BK$49</c:f>
              <c:numCache>
                <c:formatCode>General</c:formatCode>
                <c:ptCount val="12"/>
                <c:pt idx="0">
                  <c:v>1292</c:v>
                </c:pt>
                <c:pt idx="1">
                  <c:v>1458</c:v>
                </c:pt>
                <c:pt idx="2">
                  <c:v>1617</c:v>
                </c:pt>
                <c:pt idx="3">
                  <c:v>1802.03</c:v>
                </c:pt>
                <c:pt idx="4">
                  <c:v>1735</c:v>
                </c:pt>
                <c:pt idx="5">
                  <c:v>1736.6</c:v>
                </c:pt>
                <c:pt idx="6">
                  <c:v>1689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'[10]2013'!$AZ$15:$BK$15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Ags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'[10]2013'!$AZ$51:$BK$51</c:f>
              <c:numCache>
                <c:formatCode>General</c:formatCode>
                <c:ptCount val="12"/>
                <c:pt idx="0">
                  <c:v>954.81</c:v>
                </c:pt>
                <c:pt idx="1">
                  <c:v>1300</c:v>
                </c:pt>
                <c:pt idx="2">
                  <c:v>1457</c:v>
                </c:pt>
                <c:pt idx="3">
                  <c:v>1622.7</c:v>
                </c:pt>
                <c:pt idx="4">
                  <c:v>1657</c:v>
                </c:pt>
                <c:pt idx="5">
                  <c:v>1672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29078784"/>
        <c:axId val="129080704"/>
      </c:lineChart>
      <c:catAx>
        <c:axId val="1290787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80704"/>
        <c:crosses val="autoZero"/>
        <c:lblAlgn val="ctr"/>
        <c:lblOffset val="100"/>
        <c:tickLblSkip val="1"/>
        <c:tickMarkSkip val="1"/>
      </c:catAx>
      <c:valAx>
        <c:axId val="129080704"/>
        <c:scaling>
          <c:orientation val="minMax"/>
        </c:scaling>
        <c:axPos val="l"/>
        <c:majorGrid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Debit (m</a:t>
                </a:r>
                <a:r>
                  <a:rPr lang="en-US" sz="800" b="0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/s)</a:t>
                </a:r>
              </a:p>
            </c:rich>
          </c:tx>
          <c:layout>
            <c:manualLayout>
              <c:xMode val="edge"/>
              <c:yMode val="edge"/>
              <c:x val="1.0854759659896887E-2"/>
              <c:y val="0.3676026135030993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787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678957606027408"/>
          <c:y val="0.90396995588317464"/>
          <c:w val="0.38119494771891432"/>
          <c:h val="5.98799352208634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0.13949591279535942"/>
          <c:y val="0.19133574007220241"/>
          <c:w val="0.74285775247649288"/>
          <c:h val="0.70216606498194745"/>
        </c:manualLayout>
      </c:layout>
      <c:barChart>
        <c:barDir val="col"/>
        <c:grouping val="clustered"/>
        <c:ser>
          <c:idx val="1"/>
          <c:order val="0"/>
          <c:tx>
            <c:v>Volume Rencana</c:v>
          </c:tx>
          <c:spPr>
            <a:pattFill prst="dkDnDiag">
              <a:fgClr>
                <a:srgbClr val="00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'RINCI 1'!$B$9:$B$16</c:f>
              <c:strCache>
                <c:ptCount val="8"/>
                <c:pt idx="0">
                  <c:v>Malahayu</c:v>
                </c:pt>
                <c:pt idx="1">
                  <c:v>Cacaban</c:v>
                </c:pt>
                <c:pt idx="2">
                  <c:v>Rawapening</c:v>
                </c:pt>
                <c:pt idx="3">
                  <c:v>Kedungombo</c:v>
                </c:pt>
                <c:pt idx="4">
                  <c:v>Wonogiri</c:v>
                </c:pt>
                <c:pt idx="5">
                  <c:v>Sempor</c:v>
                </c:pt>
                <c:pt idx="6">
                  <c:v>Wadaslintang</c:v>
                </c:pt>
                <c:pt idx="7">
                  <c:v>Sudirman</c:v>
                </c:pt>
              </c:strCache>
            </c:strRef>
          </c:cat>
          <c:val>
            <c:numRef>
              <c:f>'RINCI 1'!$F$9:$F$16</c:f>
              <c:numCache>
                <c:formatCode>_(* #,##0.000_);_(* \(#,##0.000\);_(* "-"??_);_(@_)</c:formatCode>
                <c:ptCount val="8"/>
                <c:pt idx="0">
                  <c:v>5.2549999999999999</c:v>
                </c:pt>
                <c:pt idx="1">
                  <c:v>10.069000000000001</c:v>
                </c:pt>
                <c:pt idx="2">
                  <c:v>19.920000000000002</c:v>
                </c:pt>
                <c:pt idx="3">
                  <c:v>299.5</c:v>
                </c:pt>
                <c:pt idx="4">
                  <c:v>87.217799999999997</c:v>
                </c:pt>
                <c:pt idx="5">
                  <c:v>6.88</c:v>
                </c:pt>
                <c:pt idx="6">
                  <c:v>199.78399999999999</c:v>
                </c:pt>
                <c:pt idx="7">
                  <c:v>8.4499999999999993</c:v>
                </c:pt>
              </c:numCache>
            </c:numRef>
          </c:val>
        </c:ser>
        <c:ser>
          <c:idx val="0"/>
          <c:order val="1"/>
          <c:tx>
            <c:v>Volume Realisasi</c:v>
          </c:tx>
          <c:spPr>
            <a:pattFill prst="dkUpDiag">
              <a:fgClr>
                <a:srgbClr val="FF9900"/>
              </a:fgClr>
              <a:bgClr>
                <a:srgbClr val="FF66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'RINCI 1'!$B$9:$B$16</c:f>
              <c:strCache>
                <c:ptCount val="8"/>
                <c:pt idx="0">
                  <c:v>Malahayu</c:v>
                </c:pt>
                <c:pt idx="1">
                  <c:v>Cacaban</c:v>
                </c:pt>
                <c:pt idx="2">
                  <c:v>Rawapening</c:v>
                </c:pt>
                <c:pt idx="3">
                  <c:v>Kedungombo</c:v>
                </c:pt>
                <c:pt idx="4">
                  <c:v>Wonogiri</c:v>
                </c:pt>
                <c:pt idx="5">
                  <c:v>Sempor</c:v>
                </c:pt>
                <c:pt idx="6">
                  <c:v>Wadaslintang</c:v>
                </c:pt>
                <c:pt idx="7">
                  <c:v>Sudirman</c:v>
                </c:pt>
              </c:strCache>
            </c:strRef>
          </c:cat>
          <c:val>
            <c:numRef>
              <c:f>'RINCI 1'!$G$9:$G$16</c:f>
              <c:numCache>
                <c:formatCode>_(* #,##0.000_);_(* \(#,##0.000\);_(* "-"??_);_(@_)</c:formatCode>
                <c:ptCount val="8"/>
                <c:pt idx="0">
                  <c:v>8.7780000000000005</c:v>
                </c:pt>
                <c:pt idx="1">
                  <c:v>23.931999999999999</c:v>
                </c:pt>
                <c:pt idx="2">
                  <c:v>18.8</c:v>
                </c:pt>
                <c:pt idx="3">
                  <c:v>384.69600000000003</c:v>
                </c:pt>
                <c:pt idx="4">
                  <c:v>224.179</c:v>
                </c:pt>
                <c:pt idx="5">
                  <c:v>29.584</c:v>
                </c:pt>
                <c:pt idx="6">
                  <c:v>276.41660000000002</c:v>
                </c:pt>
                <c:pt idx="7">
                  <c:v>18.350000000000001</c:v>
                </c:pt>
              </c:numCache>
            </c:numRef>
          </c:val>
        </c:ser>
        <c:axId val="129137280"/>
        <c:axId val="129147648"/>
      </c:barChart>
      <c:lineChart>
        <c:grouping val="standard"/>
        <c:ser>
          <c:idx val="2"/>
          <c:order val="2"/>
          <c:tx>
            <c:v>Elevasi Rencana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'RINCI 1'!$D$9:$D$16</c:f>
              <c:numCache>
                <c:formatCode>_(* #,##0.00_);_(* \(#,##0.00\);_(* "-"??_);_(@_)</c:formatCode>
                <c:ptCount val="8"/>
                <c:pt idx="0">
                  <c:v>49.4</c:v>
                </c:pt>
                <c:pt idx="1">
                  <c:v>68.95</c:v>
                </c:pt>
                <c:pt idx="2">
                  <c:v>461.72</c:v>
                </c:pt>
                <c:pt idx="3">
                  <c:v>77.599999999999994</c:v>
                </c:pt>
                <c:pt idx="4">
                  <c:v>128.62</c:v>
                </c:pt>
                <c:pt idx="5">
                  <c:v>53.4</c:v>
                </c:pt>
                <c:pt idx="6">
                  <c:v>165</c:v>
                </c:pt>
                <c:pt idx="7">
                  <c:v>228.07</c:v>
                </c:pt>
              </c:numCache>
            </c:numRef>
          </c:cat>
          <c:val>
            <c:numRef>
              <c:f>'RINCI 1'!$D$9:$D$16</c:f>
              <c:numCache>
                <c:formatCode>_(* #,##0.00_);_(* \(#,##0.00\);_(* "-"??_);_(@_)</c:formatCode>
                <c:ptCount val="8"/>
                <c:pt idx="0">
                  <c:v>49.4</c:v>
                </c:pt>
                <c:pt idx="1">
                  <c:v>68.95</c:v>
                </c:pt>
                <c:pt idx="2">
                  <c:v>461.72</c:v>
                </c:pt>
                <c:pt idx="3">
                  <c:v>77.599999999999994</c:v>
                </c:pt>
                <c:pt idx="4">
                  <c:v>128.62</c:v>
                </c:pt>
                <c:pt idx="5">
                  <c:v>53.4</c:v>
                </c:pt>
                <c:pt idx="6">
                  <c:v>165</c:v>
                </c:pt>
                <c:pt idx="7">
                  <c:v>228.07</c:v>
                </c:pt>
              </c:numCache>
            </c:numRef>
          </c:val>
        </c:ser>
        <c:ser>
          <c:idx val="3"/>
          <c:order val="3"/>
          <c:tx>
            <c:v>Elevasi Realisasi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'RINCI 1'!$E$9:$E$16</c:f>
              <c:numCache>
                <c:formatCode>_(* #,##0.00_);_(* \(#,##0.00\);_(* "-"??_);_(@_)</c:formatCode>
                <c:ptCount val="8"/>
                <c:pt idx="0">
                  <c:v>50.66</c:v>
                </c:pt>
                <c:pt idx="1">
                  <c:v>72.92</c:v>
                </c:pt>
                <c:pt idx="2">
                  <c:v>461.65</c:v>
                </c:pt>
                <c:pt idx="3">
                  <c:v>81.23</c:v>
                </c:pt>
                <c:pt idx="4">
                  <c:v>132.97999999999999</c:v>
                </c:pt>
                <c:pt idx="5">
                  <c:v>68.349999999999994</c:v>
                </c:pt>
                <c:pt idx="6">
                  <c:v>173.54</c:v>
                </c:pt>
                <c:pt idx="7">
                  <c:v>230.1</c:v>
                </c:pt>
              </c:numCache>
            </c:numRef>
          </c:cat>
          <c:val>
            <c:numRef>
              <c:f>'RINCI 1'!$E$9:$E$16</c:f>
              <c:numCache>
                <c:formatCode>_(* #,##0.00_);_(* \(#,##0.00\);_(* "-"??_);_(@_)</c:formatCode>
                <c:ptCount val="8"/>
                <c:pt idx="0">
                  <c:v>50.66</c:v>
                </c:pt>
                <c:pt idx="1">
                  <c:v>72.92</c:v>
                </c:pt>
                <c:pt idx="2">
                  <c:v>461.65</c:v>
                </c:pt>
                <c:pt idx="3">
                  <c:v>81.23</c:v>
                </c:pt>
                <c:pt idx="4">
                  <c:v>132.97999999999999</c:v>
                </c:pt>
                <c:pt idx="5">
                  <c:v>68.349999999999994</c:v>
                </c:pt>
                <c:pt idx="6">
                  <c:v>173.54</c:v>
                </c:pt>
                <c:pt idx="7">
                  <c:v>230.1</c:v>
                </c:pt>
              </c:numCache>
            </c:numRef>
          </c:val>
        </c:ser>
        <c:marker val="1"/>
        <c:axId val="129149568"/>
        <c:axId val="129164032"/>
      </c:lineChart>
      <c:catAx>
        <c:axId val="1291372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147648"/>
        <c:crossesAt val="10"/>
        <c:lblAlgn val="ctr"/>
        <c:lblOffset val="100"/>
        <c:tickLblSkip val="1"/>
        <c:tickMarkSkip val="1"/>
      </c:catAx>
      <c:valAx>
        <c:axId val="129147648"/>
        <c:scaling>
          <c:orientation val="minMax"/>
          <c:max val="700"/>
        </c:scaling>
        <c:axPos val="l"/>
        <c:majorGridlines>
          <c:spPr>
            <a:ln w="3175">
              <a:solidFill>
                <a:srgbClr val="3333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Volume (m</a:t>
                </a:r>
                <a:r>
                  <a:rPr lang="en-US" sz="10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7.0323521964042596E-3"/>
              <c:y val="0.45683447511299424"/>
            </c:manualLayout>
          </c:layout>
          <c:spPr>
            <a:noFill/>
            <a:ln w="25400">
              <a:noFill/>
            </a:ln>
          </c:spPr>
        </c:title>
        <c:numFmt formatCode="#,##0.000_);\(#,##0.000\)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137280"/>
        <c:crosses val="autoZero"/>
        <c:crossBetween val="between"/>
        <c:majorUnit val="50"/>
      </c:valAx>
      <c:catAx>
        <c:axId val="129149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94842941722636964"/>
              <c:y val="5.0959379175076015E-2"/>
            </c:manualLayout>
          </c:layout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tickLblPos val="nextTo"/>
        <c:crossAx val="129164032"/>
        <c:crosses val="autoZero"/>
        <c:lblAlgn val="ctr"/>
        <c:lblOffset val="100"/>
      </c:catAx>
      <c:valAx>
        <c:axId val="129164032"/>
        <c:scaling>
          <c:orientation val="minMax"/>
          <c:max val="500"/>
          <c:min val="10"/>
        </c:scaling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Elevasi ( m </a:t>
                </a:r>
                <a:r>
                  <a:rPr lang="en-US" sz="12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5264882854421296"/>
              <c:y val="0.47302159432237095"/>
            </c:manualLayout>
          </c:layout>
          <c:spPr>
            <a:noFill/>
            <a:ln w="25400">
              <a:noFill/>
            </a:ln>
          </c:spPr>
        </c:title>
        <c:numFmt formatCode="#,##0_);\(#,##0\)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149568"/>
        <c:crosses val="max"/>
        <c:crossBetween val="between"/>
        <c:majorUnit val="25"/>
      </c:valAx>
      <c:spPr>
        <a:solidFill>
          <a:srgbClr val="CCCCFF"/>
        </a:solidFill>
        <a:ln w="12700">
          <a:solidFill>
            <a:srgbClr val="99CC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1.7355793772332824E-2"/>
          <c:y val="3.1889290012033798E-2"/>
          <c:w val="0.96988259315977565"/>
          <c:h val="8.1829121540312827E-2"/>
        </c:manualLayout>
      </c:layout>
      <c:spPr>
        <a:solidFill>
          <a:srgbClr val="FFFFFF"/>
        </a:solidFill>
        <a:ln w="38100">
          <a:solidFill>
            <a:srgbClr val="FF66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52" l="1.23" r="0.75000000000000178" t="0.56000000000000005" header="0.5" footer="0.5"/>
    <c:pageSetup paperSize="5" orientation="landscape" horizontalDpi="-3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0.14400000000000004"/>
          <c:y val="0.18945312500000031"/>
          <c:w val="0.82742857142857296"/>
          <c:h val="0.67578125000000222"/>
        </c:manualLayout>
      </c:layout>
      <c:barChart>
        <c:barDir val="col"/>
        <c:grouping val="clustered"/>
        <c:ser>
          <c:idx val="0"/>
          <c:order val="1"/>
          <c:tx>
            <c:v>Volume Rencana</c:v>
          </c:tx>
          <c:spPr>
            <a:pattFill prst="dkUpDiag">
              <a:fgClr>
                <a:srgbClr val="FF6600"/>
              </a:fgClr>
              <a:bgClr>
                <a:srgbClr val="FFFFFF"/>
              </a:bgClr>
            </a:pattFill>
            <a:ln w="38100">
              <a:solidFill>
                <a:srgbClr val="FF0000"/>
              </a:solidFill>
              <a:prstDash val="solid"/>
            </a:ln>
          </c:spPr>
          <c:cat>
            <c:strRef>
              <c:f>'RINCI 2'!$B$9:$B$38</c:f>
              <c:strCache>
                <c:ptCount val="30"/>
                <c:pt idx="0">
                  <c:v>Penjalin</c:v>
                </c:pt>
                <c:pt idx="1">
                  <c:v>Gembong</c:v>
                </c:pt>
                <c:pt idx="2">
                  <c:v>Gunungrowo</c:v>
                </c:pt>
                <c:pt idx="3">
                  <c:v>Tempuran</c:v>
                </c:pt>
                <c:pt idx="4">
                  <c:v>Greneng</c:v>
                </c:pt>
                <c:pt idx="5">
                  <c:v>Lodanwetan</c:v>
                </c:pt>
                <c:pt idx="6">
                  <c:v>Banyukuwung</c:v>
                </c:pt>
                <c:pt idx="7">
                  <c:v>Nglangon</c:v>
                </c:pt>
                <c:pt idx="8">
                  <c:v>Simo</c:v>
                </c:pt>
                <c:pt idx="9">
                  <c:v>Butak</c:v>
                </c:pt>
                <c:pt idx="10">
                  <c:v>Sanggeh</c:v>
                </c:pt>
                <c:pt idx="11">
                  <c:v>Krisak</c:v>
                </c:pt>
                <c:pt idx="12">
                  <c:v>Plumbon</c:v>
                </c:pt>
                <c:pt idx="13">
                  <c:v>Songputri</c:v>
                </c:pt>
                <c:pt idx="14">
                  <c:v>Parangjoho</c:v>
                </c:pt>
                <c:pt idx="15">
                  <c:v>Kedunguling</c:v>
                </c:pt>
                <c:pt idx="16">
                  <c:v>Nawangan</c:v>
                </c:pt>
                <c:pt idx="17">
                  <c:v>Ngancar</c:v>
                </c:pt>
                <c:pt idx="18">
                  <c:v>Lalung</c:v>
                </c:pt>
                <c:pt idx="19">
                  <c:v>Delingan</c:v>
                </c:pt>
                <c:pt idx="20">
                  <c:v>Gebyar</c:v>
                </c:pt>
                <c:pt idx="21">
                  <c:v>Kembangan</c:v>
                </c:pt>
                <c:pt idx="22">
                  <c:v>Botok</c:v>
                </c:pt>
                <c:pt idx="23">
                  <c:v>Ketro</c:v>
                </c:pt>
                <c:pt idx="24">
                  <c:v>Blimbing</c:v>
                </c:pt>
                <c:pt idx="25">
                  <c:v>Brambang</c:v>
                </c:pt>
                <c:pt idx="26">
                  <c:v>Cengklik</c:v>
                </c:pt>
                <c:pt idx="27">
                  <c:v>Klego</c:v>
                </c:pt>
                <c:pt idx="28">
                  <c:v>Jombor</c:v>
                </c:pt>
                <c:pt idx="29">
                  <c:v>Mulur</c:v>
                </c:pt>
              </c:strCache>
            </c:strRef>
          </c:cat>
          <c:val>
            <c:numRef>
              <c:f>'RINCI 2'!$F$9:$F$38</c:f>
              <c:numCache>
                <c:formatCode>_(* #,##0.000_);_(* \(#,##0.000\);_(* "-"??_);_(@_)</c:formatCode>
                <c:ptCount val="30"/>
                <c:pt idx="0">
                  <c:v>5.2530000000000001</c:v>
                </c:pt>
                <c:pt idx="1">
                  <c:v>2.6</c:v>
                </c:pt>
                <c:pt idx="2">
                  <c:v>1.58</c:v>
                </c:pt>
                <c:pt idx="3">
                  <c:v>0.61</c:v>
                </c:pt>
                <c:pt idx="4">
                  <c:v>0.71</c:v>
                </c:pt>
                <c:pt idx="5">
                  <c:v>0.68</c:v>
                </c:pt>
                <c:pt idx="6">
                  <c:v>1.1299999999999999</c:v>
                </c:pt>
                <c:pt idx="7">
                  <c:v>0.39</c:v>
                </c:pt>
                <c:pt idx="8">
                  <c:v>0.26</c:v>
                </c:pt>
                <c:pt idx="9">
                  <c:v>0.12</c:v>
                </c:pt>
                <c:pt idx="10">
                  <c:v>0.04</c:v>
                </c:pt>
                <c:pt idx="11">
                  <c:v>1.554</c:v>
                </c:pt>
                <c:pt idx="12">
                  <c:v>0.17399999999999999</c:v>
                </c:pt>
                <c:pt idx="13">
                  <c:v>0.115</c:v>
                </c:pt>
                <c:pt idx="14">
                  <c:v>0.95499999999999996</c:v>
                </c:pt>
                <c:pt idx="15">
                  <c:v>2.1000000000000001E-2</c:v>
                </c:pt>
                <c:pt idx="16">
                  <c:v>0.10199999999999999</c:v>
                </c:pt>
                <c:pt idx="17">
                  <c:v>0.58799999999999997</c:v>
                </c:pt>
                <c:pt idx="18">
                  <c:v>0.54700000000000004</c:v>
                </c:pt>
                <c:pt idx="19">
                  <c:v>0.58299999999999996</c:v>
                </c:pt>
                <c:pt idx="20">
                  <c:v>0.36299999999999999</c:v>
                </c:pt>
                <c:pt idx="21">
                  <c:v>0.12</c:v>
                </c:pt>
                <c:pt idx="22">
                  <c:v>6.4000000000000001E-2</c:v>
                </c:pt>
                <c:pt idx="23">
                  <c:v>1.3460000000000001</c:v>
                </c:pt>
                <c:pt idx="24">
                  <c:v>2.1000000000000001E-2</c:v>
                </c:pt>
                <c:pt idx="25">
                  <c:v>0.03</c:v>
                </c:pt>
                <c:pt idx="26">
                  <c:v>2.036</c:v>
                </c:pt>
                <c:pt idx="27">
                  <c:v>0.80300000000000005</c:v>
                </c:pt>
                <c:pt idx="28">
                  <c:v>0.94399999999999995</c:v>
                </c:pt>
                <c:pt idx="29">
                  <c:v>0.61799999999999999</c:v>
                </c:pt>
              </c:numCache>
            </c:numRef>
          </c:val>
        </c:ser>
        <c:axId val="129276544"/>
        <c:axId val="129282432"/>
      </c:barChart>
      <c:lineChart>
        <c:grouping val="standard"/>
        <c:ser>
          <c:idx val="1"/>
          <c:order val="0"/>
          <c:tx>
            <c:v>Volume Realisasi</c:v>
          </c:tx>
          <c:spPr>
            <a:ln w="38100">
              <a:pattFill prst="pct50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'RINCI 2'!$B$9:$B$38</c:f>
              <c:strCache>
                <c:ptCount val="30"/>
                <c:pt idx="0">
                  <c:v>Penjalin</c:v>
                </c:pt>
                <c:pt idx="1">
                  <c:v>Gembong</c:v>
                </c:pt>
                <c:pt idx="2">
                  <c:v>Gunungrowo</c:v>
                </c:pt>
                <c:pt idx="3">
                  <c:v>Tempuran</c:v>
                </c:pt>
                <c:pt idx="4">
                  <c:v>Greneng</c:v>
                </c:pt>
                <c:pt idx="5">
                  <c:v>Lodanwetan</c:v>
                </c:pt>
                <c:pt idx="6">
                  <c:v>Banyukuwung</c:v>
                </c:pt>
                <c:pt idx="7">
                  <c:v>Nglangon</c:v>
                </c:pt>
                <c:pt idx="8">
                  <c:v>Simo</c:v>
                </c:pt>
                <c:pt idx="9">
                  <c:v>Butak</c:v>
                </c:pt>
                <c:pt idx="10">
                  <c:v>Sanggeh</c:v>
                </c:pt>
                <c:pt idx="11">
                  <c:v>Krisak</c:v>
                </c:pt>
                <c:pt idx="12">
                  <c:v>Plumbon</c:v>
                </c:pt>
                <c:pt idx="13">
                  <c:v>Songputri</c:v>
                </c:pt>
                <c:pt idx="14">
                  <c:v>Parangjoho</c:v>
                </c:pt>
                <c:pt idx="15">
                  <c:v>Kedunguling</c:v>
                </c:pt>
                <c:pt idx="16">
                  <c:v>Nawangan</c:v>
                </c:pt>
                <c:pt idx="17">
                  <c:v>Ngancar</c:v>
                </c:pt>
                <c:pt idx="18">
                  <c:v>Lalung</c:v>
                </c:pt>
                <c:pt idx="19">
                  <c:v>Delingan</c:v>
                </c:pt>
                <c:pt idx="20">
                  <c:v>Gebyar</c:v>
                </c:pt>
                <c:pt idx="21">
                  <c:v>Kembangan</c:v>
                </c:pt>
                <c:pt idx="22">
                  <c:v>Botok</c:v>
                </c:pt>
                <c:pt idx="23">
                  <c:v>Ketro</c:v>
                </c:pt>
                <c:pt idx="24">
                  <c:v>Blimbing</c:v>
                </c:pt>
                <c:pt idx="25">
                  <c:v>Brambang</c:v>
                </c:pt>
                <c:pt idx="26">
                  <c:v>Cengklik</c:v>
                </c:pt>
                <c:pt idx="27">
                  <c:v>Klego</c:v>
                </c:pt>
                <c:pt idx="28">
                  <c:v>Jombor</c:v>
                </c:pt>
                <c:pt idx="29">
                  <c:v>Mulur</c:v>
                </c:pt>
              </c:strCache>
            </c:strRef>
          </c:cat>
          <c:val>
            <c:numRef>
              <c:f>'RINCI 2'!$G$9:$G$38</c:f>
              <c:numCache>
                <c:formatCode>_(* #,##0.000_);_(* \(#,##0.000\);_(* "-"??_);_(@_)</c:formatCode>
                <c:ptCount val="30"/>
                <c:pt idx="0">
                  <c:v>7.7549999999999999</c:v>
                </c:pt>
                <c:pt idx="1">
                  <c:v>3.278</c:v>
                </c:pt>
                <c:pt idx="2">
                  <c:v>1.7829999999999999</c:v>
                </c:pt>
                <c:pt idx="3">
                  <c:v>0.46200000000000002</c:v>
                </c:pt>
                <c:pt idx="4">
                  <c:v>1.613</c:v>
                </c:pt>
                <c:pt idx="5">
                  <c:v>2.5009999999999999</c:v>
                </c:pt>
                <c:pt idx="6">
                  <c:v>1.96</c:v>
                </c:pt>
                <c:pt idx="7">
                  <c:v>0.37</c:v>
                </c:pt>
                <c:pt idx="8">
                  <c:v>0.38500000000000001</c:v>
                </c:pt>
                <c:pt idx="9">
                  <c:v>0.26500000000000001</c:v>
                </c:pt>
                <c:pt idx="10">
                  <c:v>0.14599999999999999</c:v>
                </c:pt>
                <c:pt idx="11">
                  <c:v>2.5139999999999998</c:v>
                </c:pt>
                <c:pt idx="12">
                  <c:v>0.56200000000000006</c:v>
                </c:pt>
                <c:pt idx="13">
                  <c:v>0.372</c:v>
                </c:pt>
                <c:pt idx="14">
                  <c:v>1.57</c:v>
                </c:pt>
                <c:pt idx="15">
                  <c:v>0.20899999999999999</c:v>
                </c:pt>
                <c:pt idx="16">
                  <c:v>0.20599999999999999</c:v>
                </c:pt>
                <c:pt idx="17">
                  <c:v>1.2250000000000001</c:v>
                </c:pt>
                <c:pt idx="18">
                  <c:v>1.129</c:v>
                </c:pt>
                <c:pt idx="19">
                  <c:v>1.9330000000000001</c:v>
                </c:pt>
                <c:pt idx="20">
                  <c:v>0.70099999999999996</c:v>
                </c:pt>
                <c:pt idx="21">
                  <c:v>0.34499999999999997</c:v>
                </c:pt>
                <c:pt idx="22">
                  <c:v>0.51300000000000001</c:v>
                </c:pt>
                <c:pt idx="23">
                  <c:v>2</c:v>
                </c:pt>
                <c:pt idx="24">
                  <c:v>0.08</c:v>
                </c:pt>
                <c:pt idx="25">
                  <c:v>0.10299999999999999</c:v>
                </c:pt>
                <c:pt idx="26">
                  <c:v>2.78</c:v>
                </c:pt>
                <c:pt idx="27">
                  <c:v>0.90900000000000003</c:v>
                </c:pt>
                <c:pt idx="28">
                  <c:v>3.601</c:v>
                </c:pt>
                <c:pt idx="29">
                  <c:v>1.282</c:v>
                </c:pt>
              </c:numCache>
            </c:numRef>
          </c:val>
        </c:ser>
        <c:marker val="1"/>
        <c:axId val="129284352"/>
        <c:axId val="129290240"/>
      </c:lineChart>
      <c:catAx>
        <c:axId val="129276544"/>
        <c:scaling>
          <c:orientation val="minMax"/>
        </c:scaling>
        <c:axPos val="b"/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82432"/>
        <c:crosses val="autoZero"/>
        <c:auto val="1"/>
        <c:lblAlgn val="ctr"/>
        <c:lblOffset val="100"/>
        <c:tickMarkSkip val="1"/>
      </c:catAx>
      <c:valAx>
        <c:axId val="129282432"/>
        <c:scaling>
          <c:orientation val="minMax"/>
          <c:max val="9"/>
          <c:min val="0.1"/>
        </c:scaling>
        <c:axPos val="l"/>
        <c:min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Volume  (m</a:t>
                </a:r>
                <a:r>
                  <a:rPr lang="en-US" sz="10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728714416113183E-2"/>
              <c:y val="0.34698687664042094"/>
            </c:manualLayout>
          </c:layout>
          <c:spPr>
            <a:noFill/>
            <a:ln w="25400">
              <a:noFill/>
            </a:ln>
          </c:spPr>
        </c:title>
        <c:numFmt formatCode="_(* #,##0.000_);_(* \(#,##0.000\);_(* &quot;-&quot;???_);_(@_)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76544"/>
        <c:crosses val="autoZero"/>
        <c:crossBetween val="between"/>
        <c:majorUnit val="0.5"/>
      </c:valAx>
      <c:catAx>
        <c:axId val="129284352"/>
        <c:scaling>
          <c:orientation val="minMax"/>
        </c:scaling>
        <c:delete val="1"/>
        <c:axPos val="b"/>
        <c:tickLblPos val="nextTo"/>
        <c:crossAx val="129290240"/>
        <c:crosses val="autoZero"/>
        <c:auto val="1"/>
        <c:lblAlgn val="ctr"/>
        <c:lblOffset val="100"/>
      </c:catAx>
      <c:valAx>
        <c:axId val="129290240"/>
        <c:scaling>
          <c:orientation val="minMax"/>
        </c:scaling>
        <c:axPos val="r"/>
        <c:numFmt formatCode="_(* #,##0.000_);_(* \(#,##0.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84352"/>
        <c:crosses val="max"/>
        <c:crossBetween val="between"/>
      </c:valAx>
      <c:spPr>
        <a:solidFill>
          <a:srgbClr val="CCFFFF"/>
        </a:solidFill>
        <a:ln w="12700">
          <a:solidFill>
            <a:srgbClr val="CC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120460122990038"/>
          <c:y val="0.22070318384115059"/>
          <c:w val="0.52893752901825841"/>
          <c:h val="9.8958347597854934E-2"/>
        </c:manualLayout>
      </c:layout>
      <c:overlay val="1"/>
      <c:spPr>
        <a:solidFill>
          <a:srgbClr val="FFFFFF"/>
        </a:solidFill>
        <a:ln w="38100">
          <a:pattFill prst="pct75">
            <a:fgClr>
              <a:srgbClr val="FF66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" r="0" t="0" header="0.5" footer="0.5"/>
    <c:pageSetup orientation="landscape" horizontalDpi="-3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0.11534154535274355"/>
          <c:y val="0.15767045454545489"/>
          <c:w val="0.88017917133258683"/>
          <c:h val="0.73437500000000133"/>
        </c:manualLayout>
      </c:layout>
      <c:barChart>
        <c:barDir val="col"/>
        <c:grouping val="clustered"/>
        <c:ser>
          <c:idx val="1"/>
          <c:order val="0"/>
          <c:tx>
            <c:v>Elevasi Rencana</c:v>
          </c:tx>
          <c:spPr>
            <a:ln w="25400">
              <a:solidFill>
                <a:srgbClr val="0000FF"/>
              </a:solidFill>
              <a:prstDash val="solid"/>
            </a:ln>
          </c:spPr>
          <c:cat>
            <c:strRef>
              <c:f>'RINCI 2'!$B$9:$B$38</c:f>
              <c:strCache>
                <c:ptCount val="30"/>
                <c:pt idx="0">
                  <c:v>Penjalin</c:v>
                </c:pt>
                <c:pt idx="1">
                  <c:v>Gembong</c:v>
                </c:pt>
                <c:pt idx="2">
                  <c:v>Gunungrowo</c:v>
                </c:pt>
                <c:pt idx="3">
                  <c:v>Tempuran</c:v>
                </c:pt>
                <c:pt idx="4">
                  <c:v>Greneng</c:v>
                </c:pt>
                <c:pt idx="5">
                  <c:v>Lodanwetan</c:v>
                </c:pt>
                <c:pt idx="6">
                  <c:v>Banyukuwung</c:v>
                </c:pt>
                <c:pt idx="7">
                  <c:v>Nglangon</c:v>
                </c:pt>
                <c:pt idx="8">
                  <c:v>Simo</c:v>
                </c:pt>
                <c:pt idx="9">
                  <c:v>Butak</c:v>
                </c:pt>
                <c:pt idx="10">
                  <c:v>Sanggeh</c:v>
                </c:pt>
                <c:pt idx="11">
                  <c:v>Krisak</c:v>
                </c:pt>
                <c:pt idx="12">
                  <c:v>Plumbon</c:v>
                </c:pt>
                <c:pt idx="13">
                  <c:v>Songputri</c:v>
                </c:pt>
                <c:pt idx="14">
                  <c:v>Parangjoho</c:v>
                </c:pt>
                <c:pt idx="15">
                  <c:v>Kedunguling</c:v>
                </c:pt>
                <c:pt idx="16">
                  <c:v>Nawangan</c:v>
                </c:pt>
                <c:pt idx="17">
                  <c:v>Ngancar</c:v>
                </c:pt>
                <c:pt idx="18">
                  <c:v>Lalung</c:v>
                </c:pt>
                <c:pt idx="19">
                  <c:v>Delingan</c:v>
                </c:pt>
                <c:pt idx="20">
                  <c:v>Gebyar</c:v>
                </c:pt>
                <c:pt idx="21">
                  <c:v>Kembangan</c:v>
                </c:pt>
                <c:pt idx="22">
                  <c:v>Botok</c:v>
                </c:pt>
                <c:pt idx="23">
                  <c:v>Ketro</c:v>
                </c:pt>
                <c:pt idx="24">
                  <c:v>Blimbing</c:v>
                </c:pt>
                <c:pt idx="25">
                  <c:v>Brambang</c:v>
                </c:pt>
                <c:pt idx="26">
                  <c:v>Cengklik</c:v>
                </c:pt>
                <c:pt idx="27">
                  <c:v>Klego</c:v>
                </c:pt>
                <c:pt idx="28">
                  <c:v>Jombor</c:v>
                </c:pt>
                <c:pt idx="29">
                  <c:v>Mulur</c:v>
                </c:pt>
              </c:strCache>
            </c:strRef>
          </c:cat>
          <c:val>
            <c:numRef>
              <c:f>'RINCI 2'!$D$9:$D$38</c:f>
              <c:numCache>
                <c:formatCode>_(* #,##0.00_);_(* \(#,##0.00\);_(* "-"??_);_(@_)</c:formatCode>
                <c:ptCount val="30"/>
                <c:pt idx="0">
                  <c:v>336.59</c:v>
                </c:pt>
                <c:pt idx="1">
                  <c:v>198.71</c:v>
                </c:pt>
                <c:pt idx="2">
                  <c:v>311.26</c:v>
                </c:pt>
                <c:pt idx="3">
                  <c:v>116</c:v>
                </c:pt>
                <c:pt idx="4">
                  <c:v>115.06</c:v>
                </c:pt>
                <c:pt idx="5">
                  <c:v>39.159999999999997</c:v>
                </c:pt>
                <c:pt idx="6">
                  <c:v>47.63</c:v>
                </c:pt>
                <c:pt idx="7">
                  <c:v>76.180000000000007</c:v>
                </c:pt>
                <c:pt idx="8">
                  <c:v>81.64</c:v>
                </c:pt>
                <c:pt idx="9">
                  <c:v>68.62</c:v>
                </c:pt>
                <c:pt idx="10">
                  <c:v>2.13</c:v>
                </c:pt>
                <c:pt idx="11">
                  <c:v>108.32</c:v>
                </c:pt>
                <c:pt idx="12">
                  <c:v>222.4</c:v>
                </c:pt>
                <c:pt idx="13">
                  <c:v>216.9</c:v>
                </c:pt>
                <c:pt idx="14">
                  <c:v>192.4</c:v>
                </c:pt>
                <c:pt idx="15">
                  <c:v>171.8</c:v>
                </c:pt>
                <c:pt idx="16">
                  <c:v>219.35</c:v>
                </c:pt>
                <c:pt idx="17">
                  <c:v>241.28</c:v>
                </c:pt>
                <c:pt idx="18">
                  <c:v>154.51</c:v>
                </c:pt>
                <c:pt idx="19">
                  <c:v>169.51</c:v>
                </c:pt>
                <c:pt idx="20">
                  <c:v>321.93</c:v>
                </c:pt>
                <c:pt idx="21">
                  <c:v>125.29</c:v>
                </c:pt>
                <c:pt idx="22">
                  <c:v>277.62</c:v>
                </c:pt>
                <c:pt idx="23">
                  <c:v>96.61</c:v>
                </c:pt>
                <c:pt idx="24">
                  <c:v>187.84</c:v>
                </c:pt>
                <c:pt idx="25">
                  <c:v>168.41</c:v>
                </c:pt>
                <c:pt idx="26">
                  <c:v>139.6</c:v>
                </c:pt>
                <c:pt idx="27">
                  <c:v>235.56</c:v>
                </c:pt>
                <c:pt idx="28">
                  <c:v>118.83</c:v>
                </c:pt>
                <c:pt idx="29">
                  <c:v>108.27</c:v>
                </c:pt>
              </c:numCache>
            </c:numRef>
          </c:val>
        </c:ser>
        <c:ser>
          <c:idx val="0"/>
          <c:order val="1"/>
          <c:tx>
            <c:v>Elevasi Realisasi</c:v>
          </c:tx>
          <c:spPr>
            <a:ln w="25400">
              <a:solidFill>
                <a:srgbClr val="FF0000"/>
              </a:solidFill>
              <a:prstDash val="solid"/>
            </a:ln>
          </c:spPr>
          <c:cat>
            <c:strRef>
              <c:f>'RINCI 2'!$B$9:$B$38</c:f>
              <c:strCache>
                <c:ptCount val="30"/>
                <c:pt idx="0">
                  <c:v>Penjalin</c:v>
                </c:pt>
                <c:pt idx="1">
                  <c:v>Gembong</c:v>
                </c:pt>
                <c:pt idx="2">
                  <c:v>Gunungrowo</c:v>
                </c:pt>
                <c:pt idx="3">
                  <c:v>Tempuran</c:v>
                </c:pt>
                <c:pt idx="4">
                  <c:v>Greneng</c:v>
                </c:pt>
                <c:pt idx="5">
                  <c:v>Lodanwetan</c:v>
                </c:pt>
                <c:pt idx="6">
                  <c:v>Banyukuwung</c:v>
                </c:pt>
                <c:pt idx="7">
                  <c:v>Nglangon</c:v>
                </c:pt>
                <c:pt idx="8">
                  <c:v>Simo</c:v>
                </c:pt>
                <c:pt idx="9">
                  <c:v>Butak</c:v>
                </c:pt>
                <c:pt idx="10">
                  <c:v>Sanggeh</c:v>
                </c:pt>
                <c:pt idx="11">
                  <c:v>Krisak</c:v>
                </c:pt>
                <c:pt idx="12">
                  <c:v>Plumbon</c:v>
                </c:pt>
                <c:pt idx="13">
                  <c:v>Songputri</c:v>
                </c:pt>
                <c:pt idx="14">
                  <c:v>Parangjoho</c:v>
                </c:pt>
                <c:pt idx="15">
                  <c:v>Kedunguling</c:v>
                </c:pt>
                <c:pt idx="16">
                  <c:v>Nawangan</c:v>
                </c:pt>
                <c:pt idx="17">
                  <c:v>Ngancar</c:v>
                </c:pt>
                <c:pt idx="18">
                  <c:v>Lalung</c:v>
                </c:pt>
                <c:pt idx="19">
                  <c:v>Delingan</c:v>
                </c:pt>
                <c:pt idx="20">
                  <c:v>Gebyar</c:v>
                </c:pt>
                <c:pt idx="21">
                  <c:v>Kembangan</c:v>
                </c:pt>
                <c:pt idx="22">
                  <c:v>Botok</c:v>
                </c:pt>
                <c:pt idx="23">
                  <c:v>Ketro</c:v>
                </c:pt>
                <c:pt idx="24">
                  <c:v>Blimbing</c:v>
                </c:pt>
                <c:pt idx="25">
                  <c:v>Brambang</c:v>
                </c:pt>
                <c:pt idx="26">
                  <c:v>Cengklik</c:v>
                </c:pt>
                <c:pt idx="27">
                  <c:v>Klego</c:v>
                </c:pt>
                <c:pt idx="28">
                  <c:v>Jombor</c:v>
                </c:pt>
                <c:pt idx="29">
                  <c:v>Mulur</c:v>
                </c:pt>
              </c:strCache>
            </c:strRef>
          </c:cat>
          <c:val>
            <c:numRef>
              <c:f>'RINCI 2'!$E$9:$E$38</c:f>
              <c:numCache>
                <c:formatCode>_(* #,##0.00_);_(* \(#,##0.00\);_(* "-"??_);_(@_)</c:formatCode>
                <c:ptCount val="30"/>
                <c:pt idx="0">
                  <c:v>339.48</c:v>
                </c:pt>
                <c:pt idx="1">
                  <c:v>199.99</c:v>
                </c:pt>
                <c:pt idx="2">
                  <c:v>311.87</c:v>
                </c:pt>
                <c:pt idx="3">
                  <c:v>115.54</c:v>
                </c:pt>
                <c:pt idx="4">
                  <c:v>119.33</c:v>
                </c:pt>
                <c:pt idx="5">
                  <c:v>43.78</c:v>
                </c:pt>
                <c:pt idx="6">
                  <c:v>49.64</c:v>
                </c:pt>
                <c:pt idx="7">
                  <c:v>75.98</c:v>
                </c:pt>
                <c:pt idx="8">
                  <c:v>82.52</c:v>
                </c:pt>
                <c:pt idx="9">
                  <c:v>70.040000000000006</c:v>
                </c:pt>
                <c:pt idx="10">
                  <c:v>3.46</c:v>
                </c:pt>
                <c:pt idx="11">
                  <c:v>111</c:v>
                </c:pt>
                <c:pt idx="12">
                  <c:v>225.3</c:v>
                </c:pt>
                <c:pt idx="13">
                  <c:v>221.3</c:v>
                </c:pt>
                <c:pt idx="14">
                  <c:v>195.93</c:v>
                </c:pt>
                <c:pt idx="15">
                  <c:v>173.65</c:v>
                </c:pt>
                <c:pt idx="16">
                  <c:v>221.7</c:v>
                </c:pt>
                <c:pt idx="17">
                  <c:v>0.246</c:v>
                </c:pt>
                <c:pt idx="18">
                  <c:v>156.55000000000001</c:v>
                </c:pt>
                <c:pt idx="19">
                  <c:v>174.62</c:v>
                </c:pt>
                <c:pt idx="20">
                  <c:v>325.56</c:v>
                </c:pt>
                <c:pt idx="21">
                  <c:v>127.65</c:v>
                </c:pt>
                <c:pt idx="22">
                  <c:v>282.77999999999997</c:v>
                </c:pt>
                <c:pt idx="23">
                  <c:v>97.83</c:v>
                </c:pt>
                <c:pt idx="24">
                  <c:v>189.7</c:v>
                </c:pt>
                <c:pt idx="25">
                  <c:v>171.46</c:v>
                </c:pt>
                <c:pt idx="26">
                  <c:v>140.03</c:v>
                </c:pt>
                <c:pt idx="27">
                  <c:v>235.9</c:v>
                </c:pt>
                <c:pt idx="28">
                  <c:v>120.46</c:v>
                </c:pt>
                <c:pt idx="29">
                  <c:v>109.46</c:v>
                </c:pt>
              </c:numCache>
            </c:numRef>
          </c:val>
        </c:ser>
        <c:axId val="129336064"/>
        <c:axId val="129337600"/>
      </c:barChart>
      <c:catAx>
        <c:axId val="129336064"/>
        <c:scaling>
          <c:orientation val="minMax"/>
        </c:scaling>
        <c:axPos val="b"/>
        <c:majorGridlines>
          <c:spPr>
            <a:ln w="3175">
              <a:solidFill>
                <a:srgbClr val="00CCFF"/>
              </a:solidFill>
              <a:prstDash val="solid"/>
            </a:ln>
          </c:spPr>
        </c:majorGridlines>
        <c:minorGridlines>
          <c:spPr>
            <a:ln w="3175">
              <a:solidFill>
                <a:srgbClr val="00FFFF"/>
              </a:solidFill>
              <a:prstDash val="solid"/>
            </a:ln>
          </c:spPr>
        </c:min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37600"/>
        <c:crossesAt val="0"/>
        <c:lblAlgn val="ctr"/>
        <c:lblOffset val="100"/>
        <c:tickLblSkip val="1"/>
        <c:tickMarkSkip val="1"/>
      </c:catAx>
      <c:valAx>
        <c:axId val="129337600"/>
        <c:scaling>
          <c:orientation val="minMax"/>
          <c:max val="4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bg1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Elevasi (m)</a:t>
                </a:r>
              </a:p>
            </c:rich>
          </c:tx>
          <c:layout>
            <c:manualLayout>
              <c:xMode val="edge"/>
              <c:yMode val="edge"/>
              <c:x val="5.5989687679572596E-3"/>
              <c:y val="0.47869316032005882"/>
            </c:manualLayout>
          </c:layout>
          <c:spPr>
            <a:noFill/>
            <a:ln w="25400">
              <a:noFill/>
            </a:ln>
          </c:spPr>
        </c:title>
        <c:numFmt formatCode="#,##0_)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36064"/>
        <c:crosses val="autoZero"/>
        <c:crossBetween val="between"/>
        <c:majorUnit val="15"/>
        <c:minorUnit val="5"/>
      </c:valAx>
      <c:spPr>
        <a:solidFill>
          <a:srgbClr val="FFFFFF"/>
        </a:solidFill>
        <a:ln w="12700">
          <a:solidFill>
            <a:srgbClr val="99CC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7803221047073229"/>
          <c:y val="0.17518932288243982"/>
          <c:w val="0.36270046125891137"/>
          <c:h val="6.9128680614467974E-2"/>
        </c:manualLayout>
      </c:layout>
      <c:spPr>
        <a:solidFill>
          <a:srgbClr val="FFFFFF"/>
        </a:solidFill>
        <a:ln w="25400">
          <a:solidFill>
            <a:srgbClr val="FF66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3" l="0.75000000000000122" r="0.75000000000000122" t="0.53" header="0.5" footer="0.5"/>
    <c:pageSetup orientation="landscape" horizontalDpi="-4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>
        <c:manualLayout>
          <c:layoutTarget val="inner"/>
          <c:xMode val="edge"/>
          <c:yMode val="edge"/>
          <c:x val="9.8159509202454226E-2"/>
          <c:y val="0.18759936406995267"/>
          <c:w val="0.82453987730061362"/>
          <c:h val="0.70429252782193807"/>
        </c:manualLayout>
      </c:layout>
      <c:barChart>
        <c:barDir val="col"/>
        <c:grouping val="clustered"/>
        <c:ser>
          <c:idx val="0"/>
          <c:order val="0"/>
          <c:tx>
            <c:strRef>
              <c:f>KDOMBO!$F$9:$F$20</c:f>
              <c:strCache>
                <c:ptCount val="1"/>
                <c:pt idx="0">
                  <c:v> 312.900   395.700   436.652   577.871   590.108   517.121   410.491   386.266 </c:v>
                </c:pt>
              </c:strCache>
            </c:strRef>
          </c:tx>
          <c:spPr>
            <a:pattFill prst="dkUpDiag">
              <a:fgClr>
                <a:srgbClr val="FF9900"/>
              </a:fgClr>
              <a:bgClr>
                <a:srgbClr val="FF66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KDOMBO!$B$9:$B$20</c:f>
              <c:strCache>
                <c:ptCount val="12"/>
                <c:pt idx="0">
                  <c:v>Januari</c:v>
                </c:pt>
                <c:pt idx="1">
                  <c:v>Pebruari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'RINCI 1'!$G$9:$G$16</c:f>
              <c:numCache>
                <c:formatCode>_(* #,##0.000_);_(* \(#,##0.000\);_(* "-"??_);_(@_)</c:formatCode>
                <c:ptCount val="8"/>
                <c:pt idx="0">
                  <c:v>8.7780000000000005</c:v>
                </c:pt>
                <c:pt idx="1">
                  <c:v>23.931999999999999</c:v>
                </c:pt>
                <c:pt idx="2">
                  <c:v>18.8</c:v>
                </c:pt>
                <c:pt idx="3">
                  <c:v>384.69600000000003</c:v>
                </c:pt>
                <c:pt idx="4">
                  <c:v>224.179</c:v>
                </c:pt>
                <c:pt idx="5">
                  <c:v>29.584</c:v>
                </c:pt>
                <c:pt idx="6">
                  <c:v>276.41660000000002</c:v>
                </c:pt>
                <c:pt idx="7">
                  <c:v>18.350000000000001</c:v>
                </c:pt>
              </c:numCache>
            </c:numRef>
          </c:val>
        </c:ser>
        <c:ser>
          <c:idx val="1"/>
          <c:order val="3"/>
          <c:tx>
            <c:strRef>
              <c:f>KDOMBO!$D$9:$D$20</c:f>
              <c:strCache>
                <c:ptCount val="1"/>
                <c:pt idx="0">
                  <c:v>362.889 486.333 567.800 618.960 645.720 572.310 556.200 502.400</c:v>
                </c:pt>
              </c:strCache>
            </c:strRef>
          </c:tx>
          <c:spPr>
            <a:pattFill prst="dkDnDiag">
              <a:fgClr>
                <a:srgbClr val="00FF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KDOMBO!$B$9:$B$20</c:f>
              <c:strCache>
                <c:ptCount val="12"/>
                <c:pt idx="0">
                  <c:v>Januari</c:v>
                </c:pt>
                <c:pt idx="1">
                  <c:v>Pebruari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KDOMBO!$F$9:$F$16</c:f>
              <c:numCache>
                <c:formatCode>_(* #,##0.000_);_(* \(#,##0.000\);_(* "-"??_);_(@_)</c:formatCode>
                <c:ptCount val="8"/>
                <c:pt idx="0">
                  <c:v>312.89999999999998</c:v>
                </c:pt>
                <c:pt idx="1">
                  <c:v>395.7</c:v>
                </c:pt>
                <c:pt idx="2">
                  <c:v>436.65199999999999</c:v>
                </c:pt>
                <c:pt idx="3">
                  <c:v>577.87099999999998</c:v>
                </c:pt>
                <c:pt idx="4">
                  <c:v>590.10799999999995</c:v>
                </c:pt>
                <c:pt idx="5">
                  <c:v>517.12099999999998</c:v>
                </c:pt>
                <c:pt idx="6">
                  <c:v>410.49099999999999</c:v>
                </c:pt>
                <c:pt idx="7">
                  <c:v>386.26600000000002</c:v>
                </c:pt>
              </c:numCache>
            </c:numRef>
          </c:val>
        </c:ser>
        <c:axId val="129426944"/>
        <c:axId val="129428864"/>
      </c:barChart>
      <c:lineChart>
        <c:grouping val="standard"/>
        <c:ser>
          <c:idx val="2"/>
          <c:order val="1"/>
          <c:tx>
            <c:strRef>
              <c:f>KDOMBO!$C$9:$C$20</c:f>
              <c:strCache>
                <c:ptCount val="1"/>
                <c:pt idx="0">
                  <c:v>79.69 83.91 86.31 89.45 88.24 86.96 85.92 84.57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'RINCI 1'!$G$9:$G$16</c:f>
              <c:numCache>
                <c:formatCode>_(* #,##0.000_);_(* \(#,##0.000\);_(* "-"??_);_(@_)</c:formatCode>
                <c:ptCount val="8"/>
                <c:pt idx="0">
                  <c:v>8.7780000000000005</c:v>
                </c:pt>
                <c:pt idx="1">
                  <c:v>23.931999999999999</c:v>
                </c:pt>
                <c:pt idx="2">
                  <c:v>18.8</c:v>
                </c:pt>
                <c:pt idx="3">
                  <c:v>384.69600000000003</c:v>
                </c:pt>
                <c:pt idx="4">
                  <c:v>224.179</c:v>
                </c:pt>
                <c:pt idx="5">
                  <c:v>29.584</c:v>
                </c:pt>
                <c:pt idx="6">
                  <c:v>276.41660000000002</c:v>
                </c:pt>
                <c:pt idx="7">
                  <c:v>18.350000000000001</c:v>
                </c:pt>
              </c:numCache>
            </c:numRef>
          </c:cat>
          <c:val>
            <c:numRef>
              <c:f>'RINCI 1'!$D$9:$D$16</c:f>
              <c:numCache>
                <c:formatCode>_(* #,##0.00_);_(* \(#,##0.00\);_(* "-"??_);_(@_)</c:formatCode>
                <c:ptCount val="8"/>
                <c:pt idx="0">
                  <c:v>49.4</c:v>
                </c:pt>
                <c:pt idx="1">
                  <c:v>68.95</c:v>
                </c:pt>
                <c:pt idx="2">
                  <c:v>461.72</c:v>
                </c:pt>
                <c:pt idx="3">
                  <c:v>77.599999999999994</c:v>
                </c:pt>
                <c:pt idx="4">
                  <c:v>128.62</c:v>
                </c:pt>
                <c:pt idx="5">
                  <c:v>53.4</c:v>
                </c:pt>
                <c:pt idx="6">
                  <c:v>165</c:v>
                </c:pt>
                <c:pt idx="7">
                  <c:v>228.07</c:v>
                </c:pt>
              </c:numCache>
            </c:numRef>
          </c:val>
        </c:ser>
        <c:ser>
          <c:idx val="3"/>
          <c:order val="2"/>
          <c:tx>
            <c:strRef>
              <c:f>KDOMBO!$E$9:$E$20</c:f>
              <c:strCache>
                <c:ptCount val="1"/>
                <c:pt idx="0">
                  <c:v> 77.71   80.90   82.34   86.59   86.92   84.84   81.42   80.56 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'RINCI 1'!$G$9:$G$16</c:f>
              <c:numCache>
                <c:formatCode>_(* #,##0.000_);_(* \(#,##0.000\);_(* "-"??_);_(@_)</c:formatCode>
                <c:ptCount val="8"/>
                <c:pt idx="0">
                  <c:v>8.7780000000000005</c:v>
                </c:pt>
                <c:pt idx="1">
                  <c:v>23.931999999999999</c:v>
                </c:pt>
                <c:pt idx="2">
                  <c:v>18.8</c:v>
                </c:pt>
                <c:pt idx="3">
                  <c:v>384.69600000000003</c:v>
                </c:pt>
                <c:pt idx="4">
                  <c:v>224.179</c:v>
                </c:pt>
                <c:pt idx="5">
                  <c:v>29.584</c:v>
                </c:pt>
                <c:pt idx="6">
                  <c:v>276.41660000000002</c:v>
                </c:pt>
                <c:pt idx="7">
                  <c:v>18.350000000000001</c:v>
                </c:pt>
              </c:numCache>
            </c:numRef>
          </c:cat>
          <c:val>
            <c:numRef>
              <c:f>'RINCI 1'!$E$9:$E$16</c:f>
              <c:numCache>
                <c:formatCode>_(* #,##0.00_);_(* \(#,##0.00\);_(* "-"??_);_(@_)</c:formatCode>
                <c:ptCount val="8"/>
                <c:pt idx="0">
                  <c:v>50.66</c:v>
                </c:pt>
                <c:pt idx="1">
                  <c:v>72.92</c:v>
                </c:pt>
                <c:pt idx="2">
                  <c:v>461.65</c:v>
                </c:pt>
                <c:pt idx="3">
                  <c:v>81.23</c:v>
                </c:pt>
                <c:pt idx="4">
                  <c:v>132.97999999999999</c:v>
                </c:pt>
                <c:pt idx="5">
                  <c:v>68.349999999999994</c:v>
                </c:pt>
                <c:pt idx="6">
                  <c:v>173.54</c:v>
                </c:pt>
                <c:pt idx="7">
                  <c:v>230.1</c:v>
                </c:pt>
              </c:numCache>
            </c:numRef>
          </c:val>
        </c:ser>
        <c:marker val="1"/>
        <c:axId val="129439232"/>
        <c:axId val="129441152"/>
      </c:lineChart>
      <c:catAx>
        <c:axId val="1294269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28864"/>
        <c:crossesAt val="10"/>
        <c:lblAlgn val="ctr"/>
        <c:lblOffset val="100"/>
        <c:tickLblSkip val="1"/>
        <c:tickMarkSkip val="1"/>
      </c:catAx>
      <c:valAx>
        <c:axId val="129428864"/>
        <c:scaling>
          <c:orientation val="minMax"/>
          <c:max val="800"/>
          <c:min val="0"/>
        </c:scaling>
        <c:axPos val="l"/>
        <c:majorGridlines>
          <c:spPr>
            <a:ln w="3175">
              <a:solidFill>
                <a:srgbClr val="3333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Volume (m</a:t>
                </a:r>
                <a:r>
                  <a:rPr lang="en-US" sz="10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1349693251533883E-3"/>
              <c:y val="0.46581872101668143"/>
            </c:manualLayout>
          </c:layout>
          <c:spPr>
            <a:noFill/>
            <a:ln w="25400">
              <a:noFill/>
            </a:ln>
          </c:spPr>
        </c:title>
        <c:numFmt formatCode="#,##0.000_);\(#,##0.000\)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26944"/>
        <c:crosses val="autoZero"/>
        <c:crossBetween val="between"/>
        <c:majorUnit val="100"/>
      </c:valAx>
      <c:catAx>
        <c:axId val="1294392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
GRAFIK POLA NORMAL DAN REALISASI
        </a:t>
                </a:r>
              </a:p>
            </c:rich>
          </c:tx>
          <c:layout>
            <c:manualLayout>
              <c:xMode val="edge"/>
              <c:yMode val="edge"/>
              <c:x val="0.36687116564417277"/>
              <c:y val="0.86168529403308403"/>
            </c:manualLayout>
          </c:layout>
          <c:spPr>
            <a:noFill/>
            <a:ln w="25400">
              <a:noFill/>
            </a:ln>
          </c:spPr>
        </c:title>
        <c:numFmt formatCode="_(* #,##0.000_);_(* \(#,##0.000\);_(* &quot;-&quot;??_);_(@_)" sourceLinked="1"/>
        <c:tickLblPos val="nextTo"/>
        <c:crossAx val="129441152"/>
        <c:crosses val="autoZero"/>
        <c:lblAlgn val="ctr"/>
        <c:lblOffset val="100"/>
      </c:catAx>
      <c:valAx>
        <c:axId val="129441152"/>
        <c:scaling>
          <c:orientation val="minMax"/>
          <c:max val="90"/>
          <c:min val="10"/>
        </c:scaling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Elevasi ( m </a:t>
                </a:r>
                <a:r>
                  <a:rPr lang="en-US" sz="12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10920245398773031"/>
              <c:y val="0.46740863964774454"/>
            </c:manualLayout>
          </c:layout>
          <c:spPr>
            <a:noFill/>
            <a:ln w="25400">
              <a:noFill/>
            </a:ln>
          </c:spPr>
        </c:title>
        <c:numFmt formatCode="#,##0_);\(#,##0\)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439232"/>
        <c:crosses val="max"/>
        <c:crossBetween val="between"/>
        <c:majorUnit val="5"/>
      </c:valAx>
      <c:spPr>
        <a:solidFill>
          <a:srgbClr val="CCCCFF"/>
        </a:solidFill>
        <a:ln w="12700">
          <a:solidFill>
            <a:srgbClr val="99CC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100204498977505"/>
          <c:y val="0.94435613388701956"/>
          <c:w val="0.57546012269938662"/>
          <c:h val="1"/>
        </c:manualLayout>
      </c:layout>
      <c:spPr>
        <a:solidFill>
          <a:srgbClr val="FFFFFF"/>
        </a:solidFill>
        <a:ln w="38100">
          <a:solidFill>
            <a:srgbClr val="FF66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52" l="1.23" r="0.75000000000000155" t="0.56000000000000005" header="0.5" footer="0.5"/>
    <c:pageSetup paperSize="5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Grafik Volume Waduk Rowopening  5 Tahun </a:t>
            </a:r>
          </a:p>
        </c:rich>
      </c:tx>
      <c:layout>
        <c:manualLayout>
          <c:xMode val="edge"/>
          <c:yMode val="edge"/>
          <c:x val="0.16914498141263973"/>
          <c:y val="3.4653465346534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46341463444"/>
          <c:y val="0.1726457399103139"/>
          <c:w val="0.67653890824622531"/>
          <c:h val="0.59641255605381149"/>
        </c:manualLayout>
      </c:layout>
      <c:lineChart>
        <c:grouping val="standard"/>
        <c:ser>
          <c:idx val="0"/>
          <c:order val="0"/>
          <c:tx>
            <c:v>2009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GRARWNING!$B$5:$B$16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GRARWNING!$C$5:$C$16</c:f>
              <c:numCache>
                <c:formatCode>0.000</c:formatCode>
                <c:ptCount val="12"/>
                <c:pt idx="0">
                  <c:v>38.625</c:v>
                </c:pt>
                <c:pt idx="1">
                  <c:v>43.75</c:v>
                </c:pt>
                <c:pt idx="2">
                  <c:v>44.85</c:v>
                </c:pt>
                <c:pt idx="3">
                  <c:v>25.704000000000001</c:v>
                </c:pt>
                <c:pt idx="4">
                  <c:v>44.57</c:v>
                </c:pt>
                <c:pt idx="5">
                  <c:v>41.085000000000001</c:v>
                </c:pt>
                <c:pt idx="6">
                  <c:v>35.14</c:v>
                </c:pt>
                <c:pt idx="7">
                  <c:v>18.8</c:v>
                </c:pt>
                <c:pt idx="8">
                  <c:v>20.88</c:v>
                </c:pt>
                <c:pt idx="9">
                  <c:v>20.7</c:v>
                </c:pt>
                <c:pt idx="10">
                  <c:v>21.84</c:v>
                </c:pt>
                <c:pt idx="11">
                  <c:v>28.52</c:v>
                </c:pt>
              </c:numCache>
            </c:numRef>
          </c:val>
        </c:ser>
        <c:ser>
          <c:idx val="1"/>
          <c:order val="1"/>
          <c:tx>
            <c:v>2010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GRARWNING!$B$5:$B$16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GRARWNING!$D$5:$D$16</c:f>
              <c:numCache>
                <c:formatCode>0.000</c:formatCode>
                <c:ptCount val="12"/>
                <c:pt idx="0">
                  <c:v>23.05</c:v>
                </c:pt>
                <c:pt idx="1">
                  <c:v>33.5</c:v>
                </c:pt>
                <c:pt idx="2">
                  <c:v>49.695</c:v>
                </c:pt>
                <c:pt idx="3">
                  <c:v>54.39</c:v>
                </c:pt>
                <c:pt idx="4">
                  <c:v>48.875</c:v>
                </c:pt>
                <c:pt idx="5">
                  <c:v>42.5</c:v>
                </c:pt>
                <c:pt idx="6">
                  <c:v>33.295000000000002</c:v>
                </c:pt>
                <c:pt idx="7">
                  <c:v>26.056000000000001</c:v>
                </c:pt>
                <c:pt idx="8">
                  <c:v>25.55</c:v>
                </c:pt>
                <c:pt idx="9">
                  <c:v>24.7</c:v>
                </c:pt>
                <c:pt idx="10">
                  <c:v>19.920000000000002</c:v>
                </c:pt>
                <c:pt idx="11">
                  <c:v>15.34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33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GRARWNING!$B$5:$B$16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GRARWNING!$E$5:$E$16</c:f>
              <c:numCache>
                <c:formatCode>0.000</c:formatCode>
                <c:ptCount val="12"/>
                <c:pt idx="0">
                  <c:v>23.05</c:v>
                </c:pt>
                <c:pt idx="1">
                  <c:v>33.5</c:v>
                </c:pt>
                <c:pt idx="2">
                  <c:v>49.695</c:v>
                </c:pt>
                <c:pt idx="3">
                  <c:v>54.39</c:v>
                </c:pt>
                <c:pt idx="4">
                  <c:v>48.875</c:v>
                </c:pt>
                <c:pt idx="5">
                  <c:v>42.5</c:v>
                </c:pt>
                <c:pt idx="6">
                  <c:v>33.295000000000002</c:v>
                </c:pt>
                <c:pt idx="7">
                  <c:v>26.056000000000001</c:v>
                </c:pt>
                <c:pt idx="8">
                  <c:v>25.55</c:v>
                </c:pt>
                <c:pt idx="9">
                  <c:v>24.7</c:v>
                </c:pt>
                <c:pt idx="10">
                  <c:v>19.920000000000002</c:v>
                </c:pt>
                <c:pt idx="11">
                  <c:v>25.527999999999999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GRARWNING!$B$5:$B$16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GRARWNING!$F$5:$F$16</c:f>
              <c:numCache>
                <c:formatCode>0.000</c:formatCode>
                <c:ptCount val="12"/>
                <c:pt idx="0">
                  <c:v>26.94</c:v>
                </c:pt>
                <c:pt idx="1">
                  <c:v>36.78</c:v>
                </c:pt>
                <c:pt idx="2">
                  <c:v>30.63</c:v>
                </c:pt>
                <c:pt idx="3">
                  <c:v>36.784999999999997</c:v>
                </c:pt>
                <c:pt idx="4">
                  <c:v>40.880000000000003</c:v>
                </c:pt>
                <c:pt idx="5">
                  <c:v>26.408000000000001</c:v>
                </c:pt>
                <c:pt idx="6">
                  <c:v>19.600000000000001</c:v>
                </c:pt>
                <c:pt idx="7">
                  <c:v>18.64</c:v>
                </c:pt>
                <c:pt idx="8">
                  <c:v>16.32</c:v>
                </c:pt>
                <c:pt idx="9">
                  <c:v>16.04</c:v>
                </c:pt>
                <c:pt idx="10">
                  <c:v>19.440000000000001</c:v>
                </c:pt>
                <c:pt idx="11">
                  <c:v>25.527999999999999</c:v>
                </c:pt>
              </c:numCache>
            </c:numRef>
          </c:val>
        </c:ser>
        <c:ser>
          <c:idx val="4"/>
          <c:order val="4"/>
          <c:tx>
            <c:v>2013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8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GRARWNING!$B$5:$B$16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GRARWNING!$G$5:$G$16</c:f>
              <c:numCache>
                <c:formatCode>0.000</c:formatCode>
                <c:ptCount val="12"/>
                <c:pt idx="0">
                  <c:v>38.625</c:v>
                </c:pt>
                <c:pt idx="1">
                  <c:v>37.6</c:v>
                </c:pt>
                <c:pt idx="2">
                  <c:v>41.7</c:v>
                </c:pt>
                <c:pt idx="3">
                  <c:v>46.2</c:v>
                </c:pt>
                <c:pt idx="4">
                  <c:v>47.44</c:v>
                </c:pt>
                <c:pt idx="5">
                  <c:v>43.134</c:v>
                </c:pt>
                <c:pt idx="6">
                  <c:v>29.047999999999998</c:v>
                </c:pt>
                <c:pt idx="7">
                  <c:v>19.600000000000001</c:v>
                </c:pt>
                <c:pt idx="8">
                  <c:v>15.48</c:v>
                </c:pt>
                <c:pt idx="9">
                  <c:v>16.04</c:v>
                </c:pt>
                <c:pt idx="10">
                  <c:v>17.3</c:v>
                </c:pt>
                <c:pt idx="11">
                  <c:v>18.8</c:v>
                </c:pt>
              </c:numCache>
            </c:numRef>
          </c:val>
        </c:ser>
        <c:marker val="1"/>
        <c:axId val="128261120"/>
        <c:axId val="128614400"/>
      </c:lineChart>
      <c:catAx>
        <c:axId val="1282611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Bulan</a:t>
                </a:r>
              </a:p>
            </c:rich>
          </c:tx>
          <c:layout>
            <c:manualLayout>
              <c:xMode val="edge"/>
              <c:yMode val="edge"/>
              <c:x val="0.46631814145908401"/>
              <c:y val="0.9110613029806917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1" i="0" u="none" strike="noStrike" baseline="3000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128614400"/>
        <c:crosses val="autoZero"/>
        <c:lblAlgn val="ctr"/>
        <c:lblOffset val="100"/>
        <c:tickLblSkip val="1"/>
        <c:tickMarkSkip val="1"/>
      </c:catAx>
      <c:valAx>
        <c:axId val="128614400"/>
        <c:scaling>
          <c:orientation val="minMax"/>
          <c:max val="7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Juta m</a:t>
                </a:r>
                <a:r>
                  <a:rPr lang="en-US" sz="9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8.7107884748607207E-3"/>
              <c:y val="0.41928250305345593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61120"/>
        <c:crosses val="autoZero"/>
        <c:crossBetween val="between"/>
        <c:majorUnit val="5"/>
        <c:minorUnit val="5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legend>
      <c:legendPos val="tr"/>
      <c:layout>
        <c:manualLayout>
          <c:xMode val="edge"/>
          <c:yMode val="edge"/>
          <c:x val="0.8461957868649318"/>
          <c:y val="0.18935656557781771"/>
          <c:w val="0.12902106567534122"/>
          <c:h val="0.56521270237259924"/>
        </c:manualLayout>
      </c:layout>
      <c:spPr>
        <a:solidFill>
          <a:srgbClr val="FFFFFF"/>
        </a:solidFill>
        <a:ln w="254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Grafik Volume Waduk  Sudirman  5 Tahun</a:t>
            </a:r>
          </a:p>
        </c:rich>
      </c:tx>
      <c:layout>
        <c:manualLayout>
          <c:xMode val="edge"/>
          <c:yMode val="edge"/>
          <c:x val="0.20312532237818087"/>
          <c:y val="4.48714360383754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25000000000033"/>
          <c:y val="0.15099715099715158"/>
          <c:w val="0.67129629629629806"/>
          <c:h val="0.67948717948717963"/>
        </c:manualLayout>
      </c:layout>
      <c:lineChart>
        <c:grouping val="standard"/>
        <c:ser>
          <c:idx val="0"/>
          <c:order val="0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GDIRMAN!$B$6:$B$17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GDIRMAN!$C$6:$C$17</c:f>
              <c:numCache>
                <c:formatCode>_(* #,##0.000_);_(* \(#,##0.000\);_(* "-"??_);_(@_)</c:formatCode>
                <c:ptCount val="12"/>
                <c:pt idx="0">
                  <c:v>18.22</c:v>
                </c:pt>
                <c:pt idx="1">
                  <c:v>16.989999999999998</c:v>
                </c:pt>
                <c:pt idx="2">
                  <c:v>20.87</c:v>
                </c:pt>
                <c:pt idx="3">
                  <c:v>22.52</c:v>
                </c:pt>
                <c:pt idx="4">
                  <c:v>28.06</c:v>
                </c:pt>
                <c:pt idx="5">
                  <c:v>28.98</c:v>
                </c:pt>
                <c:pt idx="6">
                  <c:v>30.69</c:v>
                </c:pt>
                <c:pt idx="7">
                  <c:v>29.91</c:v>
                </c:pt>
                <c:pt idx="8">
                  <c:v>27.32</c:v>
                </c:pt>
                <c:pt idx="9">
                  <c:v>24.81</c:v>
                </c:pt>
                <c:pt idx="10">
                  <c:v>16.559999999999999</c:v>
                </c:pt>
                <c:pt idx="11">
                  <c:v>22.07</c:v>
                </c:pt>
              </c:numCache>
            </c:numRef>
          </c:val>
        </c:ser>
        <c:ser>
          <c:idx val="1"/>
          <c:order val="1"/>
          <c:tx>
            <c:v>2010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GDIRMAN!$B$6:$B$17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GDIRMAN!$D$6:$D$17</c:f>
              <c:numCache>
                <c:formatCode>_(* #,##0.000_);_(* \(#,##0.000\);_(* "-"??_);_(@_)</c:formatCode>
                <c:ptCount val="12"/>
                <c:pt idx="0">
                  <c:v>16.34</c:v>
                </c:pt>
                <c:pt idx="1">
                  <c:v>21.28</c:v>
                </c:pt>
                <c:pt idx="2">
                  <c:v>17.73</c:v>
                </c:pt>
                <c:pt idx="3">
                  <c:v>19.04</c:v>
                </c:pt>
                <c:pt idx="4">
                  <c:v>21.96</c:v>
                </c:pt>
                <c:pt idx="5">
                  <c:v>21.62</c:v>
                </c:pt>
                <c:pt idx="6">
                  <c:v>29.16</c:v>
                </c:pt>
                <c:pt idx="7">
                  <c:v>27.9</c:v>
                </c:pt>
                <c:pt idx="8">
                  <c:v>28.92</c:v>
                </c:pt>
                <c:pt idx="9">
                  <c:v>27.82</c:v>
                </c:pt>
                <c:pt idx="10">
                  <c:v>22.94</c:v>
                </c:pt>
                <c:pt idx="11">
                  <c:v>19.97</c:v>
                </c:pt>
              </c:numCache>
            </c:numRef>
          </c:val>
        </c:ser>
        <c:ser>
          <c:idx val="2"/>
          <c:order val="2"/>
          <c:tx>
            <c:strRef>
              <c:f>GDIRMAN!$E$5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GDIRMAN!$B$6:$B$17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GDIRMAN!$E$6:$E$17</c:f>
              <c:numCache>
                <c:formatCode>_(* #,##0.000_);_(* \(#,##0.000\);_(* "-"??_);_(@_)</c:formatCode>
                <c:ptCount val="12"/>
                <c:pt idx="0">
                  <c:v>20.74</c:v>
                </c:pt>
                <c:pt idx="1">
                  <c:v>13.93</c:v>
                </c:pt>
                <c:pt idx="2">
                  <c:v>19.43</c:v>
                </c:pt>
                <c:pt idx="3">
                  <c:v>28.03</c:v>
                </c:pt>
                <c:pt idx="4">
                  <c:v>23.29</c:v>
                </c:pt>
                <c:pt idx="5">
                  <c:v>13.55</c:v>
                </c:pt>
                <c:pt idx="6">
                  <c:v>30</c:v>
                </c:pt>
                <c:pt idx="7">
                  <c:v>27.95</c:v>
                </c:pt>
                <c:pt idx="8">
                  <c:v>29.45</c:v>
                </c:pt>
                <c:pt idx="9">
                  <c:v>29.05</c:v>
                </c:pt>
                <c:pt idx="10">
                  <c:v>22.65</c:v>
                </c:pt>
                <c:pt idx="11">
                  <c:v>24.5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5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spPr>
              <a:ln w="12700">
                <a:solidFill>
                  <a:srgbClr val="000080"/>
                </a:solidFill>
                <a:prstDash val="solid"/>
              </a:ln>
            </c:spPr>
          </c:dPt>
          <c:cat>
            <c:strRef>
              <c:f>GDIRMAN!$B$6:$B$17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GDIRMAN!$F$6:$F$17</c:f>
              <c:numCache>
                <c:formatCode>_(* #,##0.000_);_(* \(#,##0.000\);_(* "-"??_);_(@_)</c:formatCode>
                <c:ptCount val="12"/>
                <c:pt idx="0">
                  <c:v>16.97</c:v>
                </c:pt>
                <c:pt idx="1">
                  <c:v>19.399999999999999</c:v>
                </c:pt>
                <c:pt idx="2">
                  <c:v>13.01</c:v>
                </c:pt>
                <c:pt idx="3">
                  <c:v>17.420000000000002</c:v>
                </c:pt>
                <c:pt idx="4">
                  <c:v>18.600000000000001</c:v>
                </c:pt>
                <c:pt idx="5">
                  <c:v>13.09</c:v>
                </c:pt>
                <c:pt idx="6">
                  <c:v>27.16</c:v>
                </c:pt>
                <c:pt idx="7">
                  <c:v>21.03</c:v>
                </c:pt>
                <c:pt idx="8">
                  <c:v>19.66</c:v>
                </c:pt>
                <c:pt idx="9">
                  <c:v>16.36</c:v>
                </c:pt>
                <c:pt idx="10">
                  <c:v>19.91</c:v>
                </c:pt>
                <c:pt idx="11">
                  <c:v>15.88</c:v>
                </c:pt>
              </c:numCache>
            </c:numRef>
          </c:val>
        </c:ser>
        <c:ser>
          <c:idx val="4"/>
          <c:order val="4"/>
          <c:tx>
            <c:v>2013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8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GDIRMAN!$B$6:$B$17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GDIRMAN!$G$6:$G$17</c:f>
              <c:numCache>
                <c:formatCode>_(* #,##0.000_);_(* \(#,##0.000\);_(* "-"??_);_(@_)</c:formatCode>
                <c:ptCount val="12"/>
                <c:pt idx="0">
                  <c:v>19.86</c:v>
                </c:pt>
                <c:pt idx="1">
                  <c:v>13.22</c:v>
                </c:pt>
                <c:pt idx="2">
                  <c:v>12.61</c:v>
                </c:pt>
                <c:pt idx="3">
                  <c:v>11.44</c:v>
                </c:pt>
                <c:pt idx="4">
                  <c:v>22.67</c:v>
                </c:pt>
                <c:pt idx="5">
                  <c:v>15.58</c:v>
                </c:pt>
                <c:pt idx="6">
                  <c:v>23.06</c:v>
                </c:pt>
                <c:pt idx="7">
                  <c:v>21.6</c:v>
                </c:pt>
                <c:pt idx="8">
                  <c:v>16.739999999999998</c:v>
                </c:pt>
                <c:pt idx="9">
                  <c:v>17.63</c:v>
                </c:pt>
                <c:pt idx="10">
                  <c:v>12.47</c:v>
                </c:pt>
                <c:pt idx="11">
                  <c:v>18.350000000000001</c:v>
                </c:pt>
              </c:numCache>
            </c:numRef>
          </c:val>
        </c:ser>
        <c:marker val="1"/>
        <c:axId val="86118400"/>
        <c:axId val="86120320"/>
      </c:lineChart>
      <c:catAx>
        <c:axId val="86118400"/>
        <c:scaling>
          <c:orientation val="minMax"/>
        </c:scaling>
        <c:axPos val="b"/>
        <c:majorGridlines>
          <c:spPr>
            <a:ln w="381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0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86120320"/>
        <c:crosses val="autoZero"/>
        <c:lblAlgn val="ctr"/>
        <c:lblOffset val="100"/>
        <c:tickLblSkip val="1"/>
        <c:tickMarkSkip val="1"/>
      </c:catAx>
      <c:valAx>
        <c:axId val="86120320"/>
        <c:scaling>
          <c:orientation val="minMax"/>
          <c:max val="50"/>
        </c:scaling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Juta m3</a:t>
                </a:r>
              </a:p>
            </c:rich>
          </c:tx>
          <c:layout>
            <c:manualLayout>
              <c:xMode val="edge"/>
              <c:yMode val="edge"/>
              <c:x val="8.6806801323747705E-3"/>
              <c:y val="0.45512822674467684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en-US"/>
          </a:p>
        </c:txPr>
        <c:crossAx val="86118400"/>
        <c:crosses val="autoZero"/>
        <c:crossBetween val="between"/>
      </c:valAx>
      <c:spPr>
        <a:solidFill>
          <a:srgbClr val="C0C0C0"/>
        </a:solidFill>
        <a:ln w="381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95802807257914"/>
          <c:y val="0.14748947602106527"/>
          <c:w val="0.15104206413033519"/>
          <c:h val="0.68333754854518969"/>
        </c:manualLayout>
      </c:layout>
      <c:spPr>
        <a:solidFill>
          <a:srgbClr val="FFFFFF"/>
        </a:solidFill>
        <a:ln w="38100">
          <a:solidFill>
            <a:srgbClr val="FF0000"/>
          </a:solidFill>
          <a:prstDash val="solid"/>
        </a:ln>
        <a:effectLst>
          <a:innerShdw blurRad="63500" dist="50800" dir="13500000">
            <a:prstClr val="black">
              <a:alpha val="50000"/>
            </a:prstClr>
          </a:innerShdw>
        </a:effectLst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Grafik Volume  Waduk Cacaban 5 Tahun</a:t>
            </a:r>
          </a:p>
        </c:rich>
      </c:tx>
      <c:layout>
        <c:manualLayout>
          <c:xMode val="edge"/>
          <c:yMode val="edge"/>
          <c:x val="0.24217454960987017"/>
          <c:y val="2.9045643153527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639209225700174"/>
          <c:y val="0.1016597510373444"/>
          <c:w val="0.63646348160351462"/>
          <c:h val="0.79045643153526957"/>
        </c:manualLayout>
      </c:layout>
      <c:lineChart>
        <c:grouping val="standard"/>
        <c:ser>
          <c:idx val="1"/>
          <c:order val="0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GRACABAN!$B$5:$B$16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AGS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GRACABAN!$C$5:$C$16</c:f>
              <c:numCache>
                <c:formatCode>_(* #,##0.000_);_(* \(#,##0.000\);_(* "-"??_);_(@_)</c:formatCode>
                <c:ptCount val="12"/>
                <c:pt idx="0">
                  <c:v>22.405999999999999</c:v>
                </c:pt>
                <c:pt idx="1">
                  <c:v>44.792000000000002</c:v>
                </c:pt>
                <c:pt idx="2">
                  <c:v>49.281999999999996</c:v>
                </c:pt>
                <c:pt idx="3">
                  <c:v>47.082999999999998</c:v>
                </c:pt>
                <c:pt idx="4">
                  <c:v>44.116999999999997</c:v>
                </c:pt>
                <c:pt idx="5">
                  <c:v>34.950000000000003</c:v>
                </c:pt>
                <c:pt idx="6">
                  <c:v>25.751000000000001</c:v>
                </c:pt>
                <c:pt idx="7">
                  <c:v>14.371</c:v>
                </c:pt>
                <c:pt idx="8">
                  <c:v>9.4209999999999994</c:v>
                </c:pt>
                <c:pt idx="9">
                  <c:v>7.0940000000000003</c:v>
                </c:pt>
                <c:pt idx="10">
                  <c:v>7.6790000000000003</c:v>
                </c:pt>
                <c:pt idx="11">
                  <c:v>17.074999999999999</c:v>
                </c:pt>
              </c:numCache>
            </c:numRef>
          </c:val>
        </c:ser>
        <c:ser>
          <c:idx val="2"/>
          <c:order val="1"/>
          <c:tx>
            <c:v>"2010"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GRACABAN!$B$5:$B$16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AGS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GRACABAN!$D$5:$D$16</c:f>
              <c:numCache>
                <c:formatCode>_(* #,##0.000_);_(* \(#,##0.000\);_(* "-"??_);_(@_)</c:formatCode>
                <c:ptCount val="12"/>
                <c:pt idx="0">
                  <c:v>23.478999999999999</c:v>
                </c:pt>
                <c:pt idx="1">
                  <c:v>34.734999999999999</c:v>
                </c:pt>
                <c:pt idx="2">
                  <c:v>48.954000000000001</c:v>
                </c:pt>
                <c:pt idx="3">
                  <c:v>49.085000000000001</c:v>
                </c:pt>
                <c:pt idx="4">
                  <c:v>37.116999999999997</c:v>
                </c:pt>
                <c:pt idx="5">
                  <c:v>44.978000000000002</c:v>
                </c:pt>
                <c:pt idx="6">
                  <c:v>37.518999999999998</c:v>
                </c:pt>
                <c:pt idx="7">
                  <c:v>31.103000000000002</c:v>
                </c:pt>
                <c:pt idx="8">
                  <c:v>24.635999999999999</c:v>
                </c:pt>
                <c:pt idx="9">
                  <c:v>19.466999999999999</c:v>
                </c:pt>
                <c:pt idx="10">
                  <c:v>19.899000000000001</c:v>
                </c:pt>
                <c:pt idx="11">
                  <c:v>23.343</c:v>
                </c:pt>
              </c:numCache>
            </c:numRef>
          </c:val>
        </c:ser>
        <c:ser>
          <c:idx val="3"/>
          <c:order val="2"/>
          <c:tx>
            <c:v>2011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GRACABAN!$B$5:$B$16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AGS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GRACABAN!$E$5:$E$16</c:f>
              <c:numCache>
                <c:formatCode>_(* #,##0.000_);_(* \(#,##0.000\);_(* "-"??_);_(@_)</c:formatCode>
                <c:ptCount val="12"/>
                <c:pt idx="0">
                  <c:v>27.318999999999999</c:v>
                </c:pt>
                <c:pt idx="1">
                  <c:v>44.116999999999997</c:v>
                </c:pt>
                <c:pt idx="2">
                  <c:v>50.05</c:v>
                </c:pt>
                <c:pt idx="3">
                  <c:v>48.304000000000002</c:v>
                </c:pt>
                <c:pt idx="4">
                  <c:v>44.588999999999999</c:v>
                </c:pt>
                <c:pt idx="5">
                  <c:v>42.784999999999997</c:v>
                </c:pt>
                <c:pt idx="6">
                  <c:v>26.128</c:v>
                </c:pt>
                <c:pt idx="7">
                  <c:v>19.899000000000001</c:v>
                </c:pt>
                <c:pt idx="8">
                  <c:v>8.9600000000000009</c:v>
                </c:pt>
                <c:pt idx="9">
                  <c:v>5.3049999999999997</c:v>
                </c:pt>
                <c:pt idx="10">
                  <c:v>12.535</c:v>
                </c:pt>
                <c:pt idx="11">
                  <c:v>18.652999999999999</c:v>
                </c:pt>
              </c:numCache>
            </c:numRef>
          </c:val>
        </c:ser>
        <c:ser>
          <c:idx val="4"/>
          <c:order val="3"/>
          <c:tx>
            <c:v>2012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GRACABAN!$B$5:$B$16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AGS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GRACABAN!$F$5:$F$16</c:f>
              <c:numCache>
                <c:formatCode>_(* #,##0.000_);_(* \(#,##0.000\);_(* "-"??_);_(@_)</c:formatCode>
                <c:ptCount val="12"/>
                <c:pt idx="0">
                  <c:v>28.289000000000001</c:v>
                </c:pt>
                <c:pt idx="1">
                  <c:v>38.021000000000001</c:v>
                </c:pt>
                <c:pt idx="2">
                  <c:v>41.186999999999998</c:v>
                </c:pt>
                <c:pt idx="3">
                  <c:v>47.594000000000001</c:v>
                </c:pt>
                <c:pt idx="4">
                  <c:v>40.374000000000002</c:v>
                </c:pt>
                <c:pt idx="5">
                  <c:v>32.130000000000003</c:v>
                </c:pt>
                <c:pt idx="6">
                  <c:v>19.385000000000002</c:v>
                </c:pt>
                <c:pt idx="7">
                  <c:v>11.077</c:v>
                </c:pt>
                <c:pt idx="8">
                  <c:v>4.4080000000000004</c:v>
                </c:pt>
                <c:pt idx="9">
                  <c:v>2.9729999999999999</c:v>
                </c:pt>
                <c:pt idx="10">
                  <c:v>5.8209999999999997</c:v>
                </c:pt>
                <c:pt idx="11">
                  <c:v>22.494</c:v>
                </c:pt>
              </c:numCache>
            </c:numRef>
          </c:val>
        </c:ser>
        <c:ser>
          <c:idx val="5"/>
          <c:order val="4"/>
          <c:tx>
            <c:v>2013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8"/>
            <c:spPr>
              <a:solidFill>
                <a:srgbClr val="FF66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GRACABAN!$B$5:$B$16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AGS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GRACABAN!$G$5:$G$16</c:f>
              <c:numCache>
                <c:formatCode>_(* #,##0.000_);_(* \(#,##0.000\);_(* "-"??_);_(@_)</c:formatCode>
                <c:ptCount val="12"/>
                <c:pt idx="0">
                  <c:v>43.69</c:v>
                </c:pt>
                <c:pt idx="1">
                  <c:v>47.658999999999999</c:v>
                </c:pt>
                <c:pt idx="2">
                  <c:v>48.497999999999998</c:v>
                </c:pt>
                <c:pt idx="3">
                  <c:v>47.98</c:v>
                </c:pt>
                <c:pt idx="4">
                  <c:v>42.604999999999997</c:v>
                </c:pt>
                <c:pt idx="5">
                  <c:v>43.387</c:v>
                </c:pt>
                <c:pt idx="6">
                  <c:v>41.715000000000003</c:v>
                </c:pt>
                <c:pt idx="7">
                  <c:v>34.466999999999999</c:v>
                </c:pt>
                <c:pt idx="8">
                  <c:v>24.681999999999999</c:v>
                </c:pt>
                <c:pt idx="9">
                  <c:v>19.056999999999999</c:v>
                </c:pt>
                <c:pt idx="10">
                  <c:v>19.056999999999999</c:v>
                </c:pt>
                <c:pt idx="11">
                  <c:v>23.931999999999999</c:v>
                </c:pt>
              </c:numCache>
            </c:numRef>
          </c:val>
        </c:ser>
        <c:marker val="1"/>
        <c:axId val="86299776"/>
        <c:axId val="86301696"/>
      </c:lineChart>
      <c:catAx>
        <c:axId val="862997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86301696"/>
        <c:crosses val="autoZero"/>
        <c:lblAlgn val="ctr"/>
        <c:lblOffset val="100"/>
        <c:tickLblSkip val="1"/>
        <c:tickMarkSkip val="1"/>
      </c:catAx>
      <c:valAx>
        <c:axId val="86301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Juta m</a:t>
                </a:r>
                <a:r>
                  <a:rPr lang="en-US" sz="10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8.2371846376345821E-3"/>
              <c:y val="0.44813278008298757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8100">
            <a:pattFill prst="pct75">
              <a:fgClr>
                <a:srgbClr val="00FF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99776"/>
        <c:crosses val="autoZero"/>
        <c:crossBetween val="between"/>
        <c:majorUnit val="5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r"/>
      <c:layout>
        <c:manualLayout>
          <c:xMode val="edge"/>
          <c:yMode val="edge"/>
          <c:x val="0.83095238095237978"/>
          <c:y val="7.9681989958724178E-2"/>
          <c:w val="0.15544217687074893"/>
          <c:h val="0.47365962034828668"/>
        </c:manualLayout>
      </c:layout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Grafik Volume Waduk Malahayu  5 Tahun</a:t>
            </a:r>
          </a:p>
        </c:rich>
      </c:tx>
      <c:layout>
        <c:manualLayout>
          <c:xMode val="edge"/>
          <c:yMode val="edge"/>
          <c:x val="0.23255813953488391"/>
          <c:y val="3.11804008908685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78294573643451"/>
          <c:y val="0.12472160356347473"/>
          <c:w val="0.72259136212624586"/>
          <c:h val="0.69116555308092054"/>
        </c:manualLayout>
      </c:layout>
      <c:lineChart>
        <c:grouping val="standard"/>
        <c:ser>
          <c:idx val="0"/>
          <c:order val="0"/>
          <c:tx>
            <c:v>"2009"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3"/>
            <c:marker>
              <c:symbol val="x"/>
              <c:size val="5"/>
              <c:spPr>
                <a:solidFill>
                  <a:srgbClr val="FF0000"/>
                </a:solidFill>
                <a:ln>
                  <a:solidFill>
                    <a:srgbClr val="000080"/>
                  </a:solidFill>
                  <a:prstDash val="solid"/>
                </a:ln>
              </c:spPr>
            </c:marker>
          </c:dPt>
          <c:cat>
            <c:strRef>
              <c:f>GRAHAYU!$B$5:$B$16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GRAHAYU!$C$5:$C$16</c:f>
              <c:numCache>
                <c:formatCode>_(* #,##0.000_);_(* \(#,##0.000\);_(* "-"??_);_(@_)</c:formatCode>
                <c:ptCount val="12"/>
                <c:pt idx="0">
                  <c:v>15.92</c:v>
                </c:pt>
                <c:pt idx="1">
                  <c:v>32.334000000000003</c:v>
                </c:pt>
                <c:pt idx="2">
                  <c:v>38.737000000000002</c:v>
                </c:pt>
                <c:pt idx="3">
                  <c:v>38.027999999999999</c:v>
                </c:pt>
                <c:pt idx="4">
                  <c:v>37.536000000000001</c:v>
                </c:pt>
                <c:pt idx="5">
                  <c:v>31.596</c:v>
                </c:pt>
                <c:pt idx="6">
                  <c:v>23.373000000000001</c:v>
                </c:pt>
                <c:pt idx="7">
                  <c:v>12.468</c:v>
                </c:pt>
                <c:pt idx="8">
                  <c:v>4.4249999999999998</c:v>
                </c:pt>
                <c:pt idx="9">
                  <c:v>12.836</c:v>
                </c:pt>
                <c:pt idx="10">
                  <c:v>4.7309999999999999</c:v>
                </c:pt>
                <c:pt idx="11">
                  <c:v>13.292999999999999</c:v>
                </c:pt>
              </c:numCache>
            </c:numRef>
          </c:val>
        </c:ser>
        <c:ser>
          <c:idx val="1"/>
          <c:order val="1"/>
          <c:tx>
            <c:v>"2010"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GRAHAYU!$B$5:$B$16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GRAHAYU!$D$5:$D$16</c:f>
              <c:numCache>
                <c:formatCode>_(* #,##0.000_);_(* \(#,##0.000\);_(* "-"??_);_(@_)</c:formatCode>
                <c:ptCount val="12"/>
                <c:pt idx="0">
                  <c:v>21.524000000000001</c:v>
                </c:pt>
                <c:pt idx="1">
                  <c:v>35.799999999999997</c:v>
                </c:pt>
                <c:pt idx="2">
                  <c:v>38.808</c:v>
                </c:pt>
                <c:pt idx="3">
                  <c:v>38.808</c:v>
                </c:pt>
                <c:pt idx="4">
                  <c:v>37.116999999999997</c:v>
                </c:pt>
                <c:pt idx="5">
                  <c:v>34.853000000000002</c:v>
                </c:pt>
                <c:pt idx="6">
                  <c:v>34.247999999999998</c:v>
                </c:pt>
                <c:pt idx="7">
                  <c:v>31.082999999999998</c:v>
                </c:pt>
                <c:pt idx="8">
                  <c:v>31.210999999999999</c:v>
                </c:pt>
                <c:pt idx="9">
                  <c:v>27.646000000000001</c:v>
                </c:pt>
                <c:pt idx="10">
                  <c:v>17.629000000000001</c:v>
                </c:pt>
                <c:pt idx="11">
                  <c:v>25.838999999999999</c:v>
                </c:pt>
              </c:numCache>
            </c:numRef>
          </c:val>
        </c:ser>
        <c:ser>
          <c:idx val="2"/>
          <c:order val="2"/>
          <c:tx>
            <c:v>"2011"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GRAHAYU!$B$5:$B$16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GRAHAYU!$E$5:$E$16</c:f>
              <c:numCache>
                <c:formatCode>_(* #,##0.000_);_(* \(#,##0.000\);_(* "-"??_);_(@_)</c:formatCode>
                <c:ptCount val="12"/>
                <c:pt idx="0">
                  <c:v>31.274999999999999</c:v>
                </c:pt>
                <c:pt idx="1">
                  <c:v>37.396000000000001</c:v>
                </c:pt>
                <c:pt idx="2">
                  <c:v>38.805999999999997</c:v>
                </c:pt>
                <c:pt idx="3">
                  <c:v>36.700000000000003</c:v>
                </c:pt>
                <c:pt idx="4">
                  <c:v>35.034999999999997</c:v>
                </c:pt>
                <c:pt idx="5">
                  <c:v>29.001000000000001</c:v>
                </c:pt>
                <c:pt idx="6">
                  <c:v>21.855</c:v>
                </c:pt>
                <c:pt idx="7">
                  <c:v>32.792000000000002</c:v>
                </c:pt>
                <c:pt idx="8">
                  <c:v>6.47</c:v>
                </c:pt>
                <c:pt idx="9">
                  <c:v>3.9649999999999999</c:v>
                </c:pt>
                <c:pt idx="10">
                  <c:v>10.015000000000001</c:v>
                </c:pt>
                <c:pt idx="11">
                  <c:v>9.2590000000000003</c:v>
                </c:pt>
              </c:numCache>
            </c:numRef>
          </c:val>
        </c:ser>
        <c:ser>
          <c:idx val="3"/>
          <c:order val="3"/>
          <c:tx>
            <c:v>"2012"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GRAHAYU!$B$5:$B$16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GRAHAYU!$F$5:$F$16</c:f>
              <c:numCache>
                <c:formatCode>_(* #,##0.000_);_(* \(#,##0.000\);_(* "-"??_);_(@_)</c:formatCode>
                <c:ptCount val="12"/>
                <c:pt idx="0">
                  <c:v>18.125</c:v>
                </c:pt>
                <c:pt idx="1">
                  <c:v>23.145</c:v>
                </c:pt>
                <c:pt idx="2">
                  <c:v>32.659999999999997</c:v>
                </c:pt>
                <c:pt idx="3">
                  <c:v>36.353999999999999</c:v>
                </c:pt>
                <c:pt idx="4">
                  <c:v>37.466000000000001</c:v>
                </c:pt>
                <c:pt idx="5">
                  <c:v>27.829000000000001</c:v>
                </c:pt>
                <c:pt idx="6">
                  <c:v>18.579000000000001</c:v>
                </c:pt>
                <c:pt idx="7">
                  <c:v>11.273999999999999</c:v>
                </c:pt>
                <c:pt idx="8">
                  <c:v>3.9889999999999999</c:v>
                </c:pt>
                <c:pt idx="9">
                  <c:v>2.5339999999999998</c:v>
                </c:pt>
                <c:pt idx="10">
                  <c:v>3.7330000000000001</c:v>
                </c:pt>
                <c:pt idx="11">
                  <c:v>9.4009999999999998</c:v>
                </c:pt>
              </c:numCache>
            </c:numRef>
          </c:val>
        </c:ser>
        <c:ser>
          <c:idx val="4"/>
          <c:order val="4"/>
          <c:tx>
            <c:v>"2013"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GRAHAYU!$B$5:$B$16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GRAHAYU!$G$5:$G$16</c:f>
              <c:numCache>
                <c:formatCode>_(* #,##0.000_);_(* \(#,##0.000\);_(* "-"??_);_(@_)</c:formatCode>
                <c:ptCount val="12"/>
                <c:pt idx="0">
                  <c:v>26.856999999999999</c:v>
                </c:pt>
                <c:pt idx="1">
                  <c:v>30.890999999999998</c:v>
                </c:pt>
                <c:pt idx="2">
                  <c:v>38.808</c:v>
                </c:pt>
                <c:pt idx="3">
                  <c:v>38.808</c:v>
                </c:pt>
                <c:pt idx="4">
                  <c:v>38.311</c:v>
                </c:pt>
                <c:pt idx="5">
                  <c:v>31.65</c:v>
                </c:pt>
                <c:pt idx="6">
                  <c:v>30.152999999999999</c:v>
                </c:pt>
                <c:pt idx="7">
                  <c:v>21.762</c:v>
                </c:pt>
                <c:pt idx="8">
                  <c:v>12.426</c:v>
                </c:pt>
                <c:pt idx="9">
                  <c:v>6.7519999999999998</c:v>
                </c:pt>
                <c:pt idx="10">
                  <c:v>7.8879999999999999</c:v>
                </c:pt>
                <c:pt idx="11">
                  <c:v>8.7780000000000005</c:v>
                </c:pt>
              </c:numCache>
            </c:numRef>
          </c:val>
        </c:ser>
        <c:marker val="1"/>
        <c:axId val="86354560"/>
        <c:axId val="86361216"/>
      </c:lineChart>
      <c:catAx>
        <c:axId val="863545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Bulan</a:t>
                </a:r>
              </a:p>
            </c:rich>
          </c:tx>
          <c:layout>
            <c:manualLayout>
              <c:xMode val="edge"/>
              <c:yMode val="edge"/>
              <c:x val="0.46677740863787381"/>
              <c:y val="0.95100222717149263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86361216"/>
        <c:crosses val="autoZero"/>
        <c:lblAlgn val="ctr"/>
        <c:lblOffset val="100"/>
        <c:tickLblSkip val="1"/>
        <c:tickMarkSkip val="1"/>
      </c:catAx>
      <c:valAx>
        <c:axId val="86361216"/>
        <c:scaling>
          <c:orientation val="minMax"/>
          <c:max val="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Juta m3</a:t>
                </a:r>
              </a:p>
            </c:rich>
          </c:tx>
          <c:layout>
            <c:manualLayout>
              <c:xMode val="edge"/>
              <c:yMode val="edge"/>
              <c:x val="8.3056478405315708E-3"/>
              <c:y val="0.46770601336302897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54560"/>
        <c:crosses val="autoZero"/>
        <c:crossBetween val="between"/>
      </c:valAx>
      <c:spPr>
        <a:solidFill>
          <a:srgbClr val="C0C0C0"/>
        </a:solidFill>
        <a:ln w="25400">
          <a:solidFill>
            <a:srgbClr val="FF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23366555924697"/>
          <c:y val="0.12991833704528627"/>
          <c:w val="0.11794019933554811"/>
          <c:h val="0.67928730512249469"/>
        </c:manualLayout>
      </c:layout>
      <c:spPr>
        <a:solidFill>
          <a:srgbClr val="FFFFFF"/>
        </a:solidFill>
        <a:ln w="38100">
          <a:solidFill>
            <a:srgbClr val="FF6600"/>
          </a:solidFill>
          <a:prstDash val="solid"/>
        </a:ln>
        <a:effectLst>
          <a:innerShdw blurRad="63500" dist="50800" dir="13500000">
            <a:prstClr val="black">
              <a:alpha val="50000"/>
            </a:prstClr>
          </a:innerShdw>
        </a:effectLst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Grafik Volume Waduk Sempor 5 Tahun</a:t>
            </a:r>
          </a:p>
        </c:rich>
      </c:tx>
      <c:layout>
        <c:manualLayout>
          <c:xMode val="edge"/>
          <c:yMode val="edge"/>
          <c:x val="0.23273273273273307"/>
          <c:y val="3.68098159509203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28967550227394"/>
          <c:y val="0.14519427402862986"/>
          <c:w val="0.71757095678355565"/>
          <c:h val="0.71370143149284404"/>
        </c:manualLayout>
      </c:layout>
      <c:lineChart>
        <c:grouping val="standard"/>
        <c:ser>
          <c:idx val="0"/>
          <c:order val="0"/>
          <c:tx>
            <c:v>2009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3"/>
            <c:marker>
              <c:symbol val="x"/>
              <c:size val="5"/>
              <c:spPr>
                <a:solidFill>
                  <a:srgbClr val="FF0000"/>
                </a:solidFill>
                <a:ln>
                  <a:solidFill>
                    <a:srgbClr val="000080"/>
                  </a:solidFill>
                  <a:prstDash val="solid"/>
                </a:ln>
              </c:spPr>
            </c:marker>
          </c:dPt>
          <c:cat>
            <c:strRef>
              <c:f>GRASPOR!$B$5:$B$16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GRASPOR!$C$5:$C$16</c:f>
              <c:numCache>
                <c:formatCode>_(* #,##0.000_);_(* \(#,##0.000\);_(* "-"??_);_(@_)</c:formatCode>
                <c:ptCount val="12"/>
                <c:pt idx="0">
                  <c:v>28.646000000000001</c:v>
                </c:pt>
                <c:pt idx="1">
                  <c:v>35.034999999999997</c:v>
                </c:pt>
                <c:pt idx="2">
                  <c:v>32.753999999999998</c:v>
                </c:pt>
                <c:pt idx="3">
                  <c:v>29.837</c:v>
                </c:pt>
                <c:pt idx="4">
                  <c:v>26.988</c:v>
                </c:pt>
                <c:pt idx="5">
                  <c:v>22.515999999999998</c:v>
                </c:pt>
                <c:pt idx="6">
                  <c:v>18.965</c:v>
                </c:pt>
                <c:pt idx="7">
                  <c:v>18.495000000000001</c:v>
                </c:pt>
                <c:pt idx="8">
                  <c:v>18.288</c:v>
                </c:pt>
                <c:pt idx="9">
                  <c:v>17.577999999999999</c:v>
                </c:pt>
                <c:pt idx="10">
                  <c:v>19.321999999999999</c:v>
                </c:pt>
                <c:pt idx="11">
                  <c:v>14.917</c:v>
                </c:pt>
              </c:numCache>
            </c:numRef>
          </c:val>
        </c:ser>
        <c:ser>
          <c:idx val="1"/>
          <c:order val="1"/>
          <c:tx>
            <c:v>2010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GRASPOR!$B$5:$B$16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GRASPOR!$D$5:$D$16</c:f>
              <c:numCache>
                <c:formatCode>_(* #,##0.000_);_(* \(#,##0.000\);_(* "-"??_);_(@_)</c:formatCode>
                <c:ptCount val="12"/>
                <c:pt idx="0">
                  <c:v>31.823</c:v>
                </c:pt>
                <c:pt idx="1">
                  <c:v>37.722999999999999</c:v>
                </c:pt>
                <c:pt idx="2">
                  <c:v>37.494999999999997</c:v>
                </c:pt>
                <c:pt idx="3">
                  <c:v>37.648000000000003</c:v>
                </c:pt>
                <c:pt idx="4">
                  <c:v>37.649000000000001</c:v>
                </c:pt>
                <c:pt idx="5">
                  <c:v>35.335000000000001</c:v>
                </c:pt>
                <c:pt idx="6">
                  <c:v>35.56</c:v>
                </c:pt>
                <c:pt idx="7">
                  <c:v>37.720999999999997</c:v>
                </c:pt>
                <c:pt idx="8">
                  <c:v>38.298999999999999</c:v>
                </c:pt>
                <c:pt idx="9">
                  <c:v>38.307000000000002</c:v>
                </c:pt>
                <c:pt idx="10">
                  <c:v>38.134999999999998</c:v>
                </c:pt>
                <c:pt idx="11">
                  <c:v>36.064999999999998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GRASPOR!$B$5:$B$16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GRASPOR!$E$5:$E$16</c:f>
              <c:numCache>
                <c:formatCode>_(* #,##0.000_);_(* \(#,##0.000\);_(* "-"??_);_(@_)</c:formatCode>
                <c:ptCount val="12"/>
                <c:pt idx="0">
                  <c:v>36.784999999999997</c:v>
                </c:pt>
                <c:pt idx="1">
                  <c:v>38.082000000000001</c:v>
                </c:pt>
                <c:pt idx="2">
                  <c:v>38.478999999999999</c:v>
                </c:pt>
                <c:pt idx="3">
                  <c:v>31.873999999999999</c:v>
                </c:pt>
                <c:pt idx="4">
                  <c:v>31.373999999999999</c:v>
                </c:pt>
                <c:pt idx="5">
                  <c:v>22.757999999999999</c:v>
                </c:pt>
                <c:pt idx="6">
                  <c:v>21.92</c:v>
                </c:pt>
                <c:pt idx="7">
                  <c:v>21</c:v>
                </c:pt>
                <c:pt idx="8">
                  <c:v>20.684000000000001</c:v>
                </c:pt>
                <c:pt idx="9">
                  <c:v>14.063000000000001</c:v>
                </c:pt>
                <c:pt idx="10">
                  <c:v>24.367999999999999</c:v>
                </c:pt>
                <c:pt idx="11">
                  <c:v>31.873999999999999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GRASPOR!$B$5:$B$16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GRASPOR!$F$5:$F$16</c:f>
              <c:numCache>
                <c:formatCode>_(* #,##0.000_);_(* \(#,##0.000\);_(* "-"??_);_(@_)</c:formatCode>
                <c:ptCount val="12"/>
                <c:pt idx="0">
                  <c:v>36.750999999999998</c:v>
                </c:pt>
                <c:pt idx="1">
                  <c:v>37.896999999999998</c:v>
                </c:pt>
                <c:pt idx="2">
                  <c:v>35.927999999999997</c:v>
                </c:pt>
                <c:pt idx="3">
                  <c:v>27.501000000000001</c:v>
                </c:pt>
                <c:pt idx="4">
                  <c:v>28.02</c:v>
                </c:pt>
                <c:pt idx="5">
                  <c:v>18.68</c:v>
                </c:pt>
                <c:pt idx="6">
                  <c:v>12.173999999999999</c:v>
                </c:pt>
                <c:pt idx="7">
                  <c:v>11.875999999999999</c:v>
                </c:pt>
                <c:pt idx="8">
                  <c:v>11.587999999999999</c:v>
                </c:pt>
                <c:pt idx="9">
                  <c:v>14.84</c:v>
                </c:pt>
                <c:pt idx="10">
                  <c:v>18.68</c:v>
                </c:pt>
                <c:pt idx="11">
                  <c:v>38.036000000000001</c:v>
                </c:pt>
              </c:numCache>
            </c:numRef>
          </c:val>
        </c:ser>
        <c:ser>
          <c:idx val="4"/>
          <c:order val="4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GRASPOR!$B$5:$B$16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GRASPOR!$G$5:$G$16</c:f>
              <c:numCache>
                <c:formatCode>_(* #,##0.000_);_(* \(#,##0.000\);_(* "-"??_);_(@_)</c:formatCode>
                <c:ptCount val="12"/>
                <c:pt idx="0">
                  <c:v>38.158999999999999</c:v>
                </c:pt>
                <c:pt idx="1">
                  <c:v>34.423999999999999</c:v>
                </c:pt>
                <c:pt idx="2">
                  <c:v>33.235999999999997</c:v>
                </c:pt>
                <c:pt idx="3">
                  <c:v>32.987000000000002</c:v>
                </c:pt>
                <c:pt idx="4">
                  <c:v>27.655000000000001</c:v>
                </c:pt>
                <c:pt idx="5">
                  <c:v>32.578000000000003</c:v>
                </c:pt>
                <c:pt idx="6">
                  <c:v>35.573</c:v>
                </c:pt>
                <c:pt idx="7">
                  <c:v>35.213999999999999</c:v>
                </c:pt>
                <c:pt idx="8">
                  <c:v>33.070999999999998</c:v>
                </c:pt>
                <c:pt idx="9">
                  <c:v>31.713999999999999</c:v>
                </c:pt>
                <c:pt idx="10">
                  <c:v>29.584</c:v>
                </c:pt>
                <c:pt idx="11">
                  <c:v>29.584</c:v>
                </c:pt>
              </c:numCache>
            </c:numRef>
          </c:val>
        </c:ser>
        <c:marker val="1"/>
        <c:axId val="86455040"/>
        <c:axId val="86457344"/>
      </c:lineChart>
      <c:catAx>
        <c:axId val="86455040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Bulan</a:t>
                </a:r>
              </a:p>
            </c:rich>
          </c:tx>
          <c:layout>
            <c:manualLayout>
              <c:xMode val="edge"/>
              <c:yMode val="edge"/>
              <c:x val="0.46165409503992233"/>
              <c:y val="0.942740286298570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86457344"/>
        <c:crosses val="autoZero"/>
        <c:lblAlgn val="ctr"/>
        <c:lblOffset val="100"/>
        <c:tickLblSkip val="1"/>
        <c:tickMarkSkip val="1"/>
      </c:catAx>
      <c:valAx>
        <c:axId val="86457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Juta m</a:t>
                </a:r>
                <a:r>
                  <a:rPr lang="en-US" sz="11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3.067319287791742E-3"/>
              <c:y val="0.44921608725289786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en-US"/>
          </a:p>
        </c:txPr>
        <c:crossAx val="86455040"/>
        <c:crosses val="autoZero"/>
        <c:crossBetween val="between"/>
      </c:valAx>
      <c:spPr>
        <a:solidFill>
          <a:srgbClr val="C0C0C0"/>
        </a:solidFill>
        <a:ln w="38100">
          <a:solidFill>
            <a:srgbClr val="CCCC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36636636636521"/>
          <c:y val="0.14178595773687799"/>
          <c:w val="0.11561561561561529"/>
          <c:h val="0.71710974778459624"/>
        </c:manualLayout>
      </c:layout>
      <c:spPr>
        <a:solidFill>
          <a:srgbClr val="FFFFFF"/>
        </a:solidFill>
        <a:ln w="38100">
          <a:solidFill>
            <a:srgbClr val="FF0000"/>
          </a:solidFill>
          <a:prstDash val="solid"/>
        </a:ln>
        <a:effectLst>
          <a:innerShdw blurRad="63500" dist="50800" dir="13500000">
            <a:prstClr val="black">
              <a:alpha val="50000"/>
            </a:prstClr>
          </a:innerShdw>
        </a:effectLst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Grafik Volume Waduk Gajahmungkur 5 Tahun</a:t>
            </a:r>
          </a:p>
        </c:rich>
      </c:tx>
      <c:layout>
        <c:manualLayout>
          <c:xMode val="edge"/>
          <c:yMode val="edge"/>
          <c:x val="0.18264845099490801"/>
          <c:y val="4.43973349485163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31709791983764"/>
          <c:y val="0.15644820295983153"/>
          <c:w val="0.73313039066463725"/>
          <c:h val="0.70613107822410326"/>
        </c:manualLayout>
      </c:layout>
      <c:lineChart>
        <c:grouping val="standard"/>
        <c:ser>
          <c:idx val="1"/>
          <c:order val="0"/>
          <c:tx>
            <c:strRef>
              <c:f>'GR GJMUNGKUR'!$C$4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'GR GJMUNGKUR'!$C$5:$C$16</c:f>
              <c:numCache>
                <c:formatCode>0.000</c:formatCode>
                <c:ptCount val="12"/>
                <c:pt idx="0">
                  <c:v>167.06</c:v>
                </c:pt>
                <c:pt idx="1">
                  <c:v>308.12700000000001</c:v>
                </c:pt>
                <c:pt idx="2">
                  <c:v>254.74</c:v>
                </c:pt>
                <c:pt idx="3">
                  <c:v>287.72199999999998</c:v>
                </c:pt>
                <c:pt idx="4" formatCode="General">
                  <c:v>286.88499999999999</c:v>
                </c:pt>
                <c:pt idx="5">
                  <c:v>243.35</c:v>
                </c:pt>
                <c:pt idx="6">
                  <c:v>163.58000000000001</c:v>
                </c:pt>
                <c:pt idx="7">
                  <c:v>77</c:v>
                </c:pt>
                <c:pt idx="8">
                  <c:v>98.131</c:v>
                </c:pt>
                <c:pt idx="9">
                  <c:v>87.646000000000001</c:v>
                </c:pt>
                <c:pt idx="10">
                  <c:v>96.293000000000006</c:v>
                </c:pt>
                <c:pt idx="11">
                  <c:v>90.908000000000001</c:v>
                </c:pt>
              </c:numCache>
            </c:numRef>
          </c:val>
        </c:ser>
        <c:ser>
          <c:idx val="2"/>
          <c:order val="1"/>
          <c:tx>
            <c:strRef>
              <c:f>'GR GJMUNGKUR'!$D$4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Pt>
            <c:idx val="8"/>
            <c:marker>
              <c:spPr>
                <a:solidFill>
                  <a:schemeClr val="tx1"/>
                </a:solidFill>
                <a:ln>
                  <a:solidFill>
                    <a:sysClr val="windowText" lastClr="000000"/>
                  </a:solidFill>
                </a:ln>
              </c:spPr>
            </c:marker>
          </c:dPt>
          <c:val>
            <c:numRef>
              <c:f>'GR GJMUNGKUR'!$D$5:$D$16</c:f>
              <c:numCache>
                <c:formatCode>0.000</c:formatCode>
                <c:ptCount val="12"/>
                <c:pt idx="0">
                  <c:v>134.67500000000001</c:v>
                </c:pt>
                <c:pt idx="1">
                  <c:v>265.55700000000002</c:v>
                </c:pt>
                <c:pt idx="2">
                  <c:v>395.87599999999998</c:v>
                </c:pt>
                <c:pt idx="3">
                  <c:v>398.76</c:v>
                </c:pt>
                <c:pt idx="4" formatCode="General">
                  <c:v>397.31799999999998</c:v>
                </c:pt>
                <c:pt idx="5">
                  <c:v>342.15699999999998</c:v>
                </c:pt>
                <c:pt idx="6">
                  <c:v>294.50299999999999</c:v>
                </c:pt>
                <c:pt idx="7">
                  <c:v>214.21799999999999</c:v>
                </c:pt>
                <c:pt idx="8">
                  <c:v>236.38399999999999</c:v>
                </c:pt>
                <c:pt idx="9">
                  <c:v>190.34299999999999</c:v>
                </c:pt>
                <c:pt idx="10">
                  <c:v>232.255</c:v>
                </c:pt>
                <c:pt idx="11">
                  <c:v>135.19</c:v>
                </c:pt>
              </c:numCache>
            </c:numRef>
          </c:val>
        </c:ser>
        <c:ser>
          <c:idx val="3"/>
          <c:order val="2"/>
          <c:tx>
            <c:strRef>
              <c:f>'GR GJMUNGKUR'!$E$4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'GR GJMUNGKUR'!$E$5:$E$16</c:f>
              <c:numCache>
                <c:formatCode>0.000</c:formatCode>
                <c:ptCount val="12"/>
                <c:pt idx="0">
                  <c:v>324.137</c:v>
                </c:pt>
                <c:pt idx="1">
                  <c:v>360.44299999999998</c:v>
                </c:pt>
                <c:pt idx="2">
                  <c:v>389.40600000000001</c:v>
                </c:pt>
                <c:pt idx="3">
                  <c:v>390.11500000000001</c:v>
                </c:pt>
                <c:pt idx="4" formatCode="General">
                  <c:v>353.83</c:v>
                </c:pt>
                <c:pt idx="5">
                  <c:v>296.661</c:v>
                </c:pt>
                <c:pt idx="6">
                  <c:v>245.78700000000001</c:v>
                </c:pt>
                <c:pt idx="7">
                  <c:v>189.57400000000001</c:v>
                </c:pt>
                <c:pt idx="8">
                  <c:v>125.77</c:v>
                </c:pt>
                <c:pt idx="9">
                  <c:v>105.254</c:v>
                </c:pt>
                <c:pt idx="10">
                  <c:v>110.194</c:v>
                </c:pt>
                <c:pt idx="11">
                  <c:v>120.58799999999999</c:v>
                </c:pt>
              </c:numCache>
            </c:numRef>
          </c:val>
        </c:ser>
        <c:ser>
          <c:idx val="4"/>
          <c:order val="3"/>
          <c:tx>
            <c:strRef>
              <c:f>'GR GJMUNGKUR'!$F$4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'GR GJMUNGKUR'!$F$5:$F$16</c:f>
              <c:numCache>
                <c:formatCode>0.000</c:formatCode>
                <c:ptCount val="12"/>
                <c:pt idx="0">
                  <c:v>248.17400000000001</c:v>
                </c:pt>
                <c:pt idx="1">
                  <c:v>344.10700000000003</c:v>
                </c:pt>
                <c:pt idx="2">
                  <c:v>350.56099999999998</c:v>
                </c:pt>
                <c:pt idx="3">
                  <c:v>351.21499999999997</c:v>
                </c:pt>
                <c:pt idx="4">
                  <c:v>361.108</c:v>
                </c:pt>
                <c:pt idx="5">
                  <c:v>296.661</c:v>
                </c:pt>
                <c:pt idx="6">
                  <c:v>208.74700000000001</c:v>
                </c:pt>
                <c:pt idx="7">
                  <c:v>148.83000000000001</c:v>
                </c:pt>
                <c:pt idx="8">
                  <c:v>89.375</c:v>
                </c:pt>
                <c:pt idx="9">
                  <c:v>65.614999999999995</c:v>
                </c:pt>
                <c:pt idx="10">
                  <c:v>81.355999999999995</c:v>
                </c:pt>
                <c:pt idx="11">
                  <c:v>219.798</c:v>
                </c:pt>
              </c:numCache>
            </c:numRef>
          </c:val>
        </c:ser>
        <c:ser>
          <c:idx val="0"/>
          <c:order val="4"/>
          <c:tx>
            <c:strRef>
              <c:f>'GR GJMUNGKUR'!$G$4</c:f>
              <c:strCache>
                <c:ptCount val="1"/>
                <c:pt idx="0">
                  <c:v>2013</c:v>
                </c:pt>
              </c:strCache>
            </c:strRef>
          </c:tx>
          <c:val>
            <c:numRef>
              <c:f>'GR GJMUNGKUR'!$G$5:$G$16</c:f>
              <c:numCache>
                <c:formatCode>0.000</c:formatCode>
                <c:ptCount val="12"/>
                <c:pt idx="0">
                  <c:v>311.589</c:v>
                </c:pt>
                <c:pt idx="1">
                  <c:v>340.22899999999998</c:v>
                </c:pt>
                <c:pt idx="2">
                  <c:v>330.26299999999998</c:v>
                </c:pt>
                <c:pt idx="3">
                  <c:v>403.90199999999999</c:v>
                </c:pt>
                <c:pt idx="4">
                  <c:v>406.86399999999998</c:v>
                </c:pt>
                <c:pt idx="5">
                  <c:v>430.41469999999998</c:v>
                </c:pt>
                <c:pt idx="6">
                  <c:v>387.28</c:v>
                </c:pt>
                <c:pt idx="7">
                  <c:v>231.8</c:v>
                </c:pt>
                <c:pt idx="8">
                  <c:v>115.7</c:v>
                </c:pt>
                <c:pt idx="9">
                  <c:v>79.325000000000003</c:v>
                </c:pt>
                <c:pt idx="10">
                  <c:v>103.36499999999999</c:v>
                </c:pt>
                <c:pt idx="11">
                  <c:v>224.179</c:v>
                </c:pt>
              </c:numCache>
            </c:numRef>
          </c:val>
        </c:ser>
        <c:marker val="1"/>
        <c:axId val="86559744"/>
        <c:axId val="86577920"/>
      </c:lineChart>
      <c:catAx>
        <c:axId val="865597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86577920"/>
        <c:crossesAt val="0"/>
        <c:lblAlgn val="ctr"/>
        <c:lblOffset val="100"/>
        <c:tickLblSkip val="1"/>
        <c:tickMarkSkip val="1"/>
      </c:catAx>
      <c:valAx>
        <c:axId val="86577920"/>
        <c:scaling>
          <c:orientation val="minMax"/>
          <c:max val="4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Juta m3</a:t>
                </a:r>
              </a:p>
            </c:rich>
          </c:tx>
          <c:layout>
            <c:manualLayout>
              <c:xMode val="edge"/>
              <c:yMode val="edge"/>
              <c:x val="7.6103820355788972E-3"/>
              <c:y val="0.452431381300009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8655974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05792224690004"/>
          <c:y val="0.15253084255156407"/>
          <c:w val="0.11936469479776511"/>
          <c:h val="0.715694050389452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 horizont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Grafik Volume Waduk Wadaslintang 5 Tahun</a:t>
            </a:r>
          </a:p>
        </c:rich>
      </c:tx>
      <c:layout>
        <c:manualLayout>
          <c:xMode val="edge"/>
          <c:yMode val="edge"/>
          <c:x val="0.18264845099490801"/>
          <c:y val="4.4397378744142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31709791983764"/>
          <c:y val="0.15644820295983142"/>
          <c:w val="0.73313039066463725"/>
          <c:h val="0.70613107822410304"/>
        </c:manualLayout>
      </c:layout>
      <c:lineChart>
        <c:grouping val="standard"/>
        <c:ser>
          <c:idx val="1"/>
          <c:order val="0"/>
          <c:tx>
            <c:strRef>
              <c:f>GRAWDLTG!$C$4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GRAWDLTG!$C$5:$C$16</c:f>
              <c:numCache>
                <c:formatCode>_(* #,##0.000_);_(* \(#,##0.000\);_(* "-"??_);_(@_)</c:formatCode>
                <c:ptCount val="12"/>
                <c:pt idx="0">
                  <c:v>235.321</c:v>
                </c:pt>
                <c:pt idx="1">
                  <c:v>295.46499999999997</c:v>
                </c:pt>
                <c:pt idx="2">
                  <c:v>328.65899999999999</c:v>
                </c:pt>
                <c:pt idx="3">
                  <c:v>359.21199999999999</c:v>
                </c:pt>
                <c:pt idx="4">
                  <c:v>354.11599999999999</c:v>
                </c:pt>
                <c:pt idx="5">
                  <c:v>326.608</c:v>
                </c:pt>
                <c:pt idx="6">
                  <c:v>288.46899999999999</c:v>
                </c:pt>
                <c:pt idx="7">
                  <c:v>280.52699999999999</c:v>
                </c:pt>
                <c:pt idx="8">
                  <c:v>281.649</c:v>
                </c:pt>
                <c:pt idx="9">
                  <c:v>267.91399999999999</c:v>
                </c:pt>
                <c:pt idx="10">
                  <c:v>239.15299999999999</c:v>
                </c:pt>
                <c:pt idx="11">
                  <c:v>217.899</c:v>
                </c:pt>
              </c:numCache>
            </c:numRef>
          </c:val>
        </c:ser>
        <c:ser>
          <c:idx val="2"/>
          <c:order val="1"/>
          <c:tx>
            <c:strRef>
              <c:f>GRAWDLTG!$D$4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Pt>
            <c:idx val="8"/>
            <c:marker>
              <c:spPr>
                <a:solidFill>
                  <a:schemeClr val="tx1"/>
                </a:solidFill>
                <a:ln>
                  <a:solidFill>
                    <a:sysClr val="windowText" lastClr="000000"/>
                  </a:solidFill>
                </a:ln>
              </c:spPr>
            </c:marker>
          </c:dPt>
          <c:val>
            <c:numRef>
              <c:f>GRAWDLTG!$D$5:$D$16</c:f>
              <c:numCache>
                <c:formatCode>_(* #,##0.000_);_(* \(#,##0.000\);_(* "-"??_);_(@_)</c:formatCode>
                <c:ptCount val="12"/>
                <c:pt idx="0">
                  <c:v>240.72399999999999</c:v>
                </c:pt>
                <c:pt idx="1">
                  <c:v>300.5</c:v>
                </c:pt>
                <c:pt idx="2">
                  <c:v>359.83800000000002</c:v>
                </c:pt>
                <c:pt idx="3">
                  <c:v>370.05099999999999</c:v>
                </c:pt>
                <c:pt idx="4">
                  <c:v>414.64100000000002</c:v>
                </c:pt>
                <c:pt idx="5">
                  <c:v>381.94400000000002</c:v>
                </c:pt>
                <c:pt idx="6">
                  <c:v>377.98200000000003</c:v>
                </c:pt>
                <c:pt idx="7">
                  <c:v>384.029</c:v>
                </c:pt>
                <c:pt idx="8">
                  <c:v>400.50299999999999</c:v>
                </c:pt>
                <c:pt idx="9">
                  <c:v>394.65800000000002</c:v>
                </c:pt>
                <c:pt idx="10">
                  <c:v>402.85899999999998</c:v>
                </c:pt>
                <c:pt idx="11">
                  <c:v>364.61599999999999</c:v>
                </c:pt>
              </c:numCache>
            </c:numRef>
          </c:val>
        </c:ser>
        <c:ser>
          <c:idx val="3"/>
          <c:order val="2"/>
          <c:tx>
            <c:strRef>
              <c:f>GRAWDLTG!$E$4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GRAWDLTG!$E$5:$E$16</c:f>
              <c:numCache>
                <c:formatCode>_(* #,##0.000_);_(* \(#,##0.000\);_(* "-"??_);_(@_)</c:formatCode>
                <c:ptCount val="12"/>
                <c:pt idx="0">
                  <c:v>386.84500000000003</c:v>
                </c:pt>
                <c:pt idx="1">
                  <c:v>388.30500000000001</c:v>
                </c:pt>
                <c:pt idx="2">
                  <c:v>407.572</c:v>
                </c:pt>
                <c:pt idx="3">
                  <c:v>305.72199999999998</c:v>
                </c:pt>
                <c:pt idx="4">
                  <c:v>384.55099999999999</c:v>
                </c:pt>
                <c:pt idx="5">
                  <c:v>344.40499999999997</c:v>
                </c:pt>
                <c:pt idx="6">
                  <c:v>319.52199999999999</c:v>
                </c:pt>
                <c:pt idx="7">
                  <c:v>316.072</c:v>
                </c:pt>
                <c:pt idx="8">
                  <c:v>316.63099999999997</c:v>
                </c:pt>
                <c:pt idx="9">
                  <c:v>276.416</c:v>
                </c:pt>
                <c:pt idx="10">
                  <c:v>275.29500000000002</c:v>
                </c:pt>
                <c:pt idx="11">
                  <c:v>305.72199999999998</c:v>
                </c:pt>
              </c:numCache>
            </c:numRef>
          </c:val>
        </c:ser>
        <c:ser>
          <c:idx val="4"/>
          <c:order val="3"/>
          <c:tx>
            <c:strRef>
              <c:f>GRAWDLTG!$F$4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GRAWDLTG!$F$5:$F$16</c:f>
              <c:numCache>
                <c:formatCode>_(* #,##0.000_);_(* \(#,##0.000\);_(* "-"??_);_(@_)</c:formatCode>
                <c:ptCount val="12"/>
                <c:pt idx="0">
                  <c:v>375.27</c:v>
                </c:pt>
                <c:pt idx="1">
                  <c:v>381.52699999999999</c:v>
                </c:pt>
                <c:pt idx="2">
                  <c:v>386.63600000000002</c:v>
                </c:pt>
                <c:pt idx="3">
                  <c:v>378.81599999999997</c:v>
                </c:pt>
                <c:pt idx="4">
                  <c:v>375.27</c:v>
                </c:pt>
                <c:pt idx="5">
                  <c:v>325.3</c:v>
                </c:pt>
                <c:pt idx="6">
                  <c:v>265.39100000000002</c:v>
                </c:pt>
                <c:pt idx="7">
                  <c:v>261.27999999999997</c:v>
                </c:pt>
                <c:pt idx="8">
                  <c:v>261.84100000000001</c:v>
                </c:pt>
                <c:pt idx="9">
                  <c:v>238.28200000000001</c:v>
                </c:pt>
                <c:pt idx="10">
                  <c:v>219.642</c:v>
                </c:pt>
                <c:pt idx="11">
                  <c:v>268.04500000000002</c:v>
                </c:pt>
              </c:numCache>
            </c:numRef>
          </c:val>
        </c:ser>
        <c:ser>
          <c:idx val="0"/>
          <c:order val="4"/>
          <c:tx>
            <c:strRef>
              <c:f>GRAWDLTG!$G$4</c:f>
              <c:strCache>
                <c:ptCount val="1"/>
                <c:pt idx="0">
                  <c:v>2013</c:v>
                </c:pt>
              </c:strCache>
            </c:strRef>
          </c:tx>
          <c:val>
            <c:numRef>
              <c:f>GRAWDLTG!$G$5:$G$16</c:f>
              <c:numCache>
                <c:formatCode>_(* #,##0.000_);_(* \(#,##0.000\);_(* "-"??_);_(@_)</c:formatCode>
                <c:ptCount val="12"/>
                <c:pt idx="0">
                  <c:v>317.65699999999998</c:v>
                </c:pt>
                <c:pt idx="1">
                  <c:v>344.92700000000002</c:v>
                </c:pt>
                <c:pt idx="2">
                  <c:v>344.61399999999998</c:v>
                </c:pt>
                <c:pt idx="3">
                  <c:v>369.43099999999998</c:v>
                </c:pt>
                <c:pt idx="4">
                  <c:v>356.18799999999999</c:v>
                </c:pt>
                <c:pt idx="5">
                  <c:v>346.28199999999998</c:v>
                </c:pt>
                <c:pt idx="6">
                  <c:v>302.36500000000001</c:v>
                </c:pt>
                <c:pt idx="7">
                  <c:v>298.26299999999998</c:v>
                </c:pt>
                <c:pt idx="8">
                  <c:v>296.399</c:v>
                </c:pt>
                <c:pt idx="9">
                  <c:v>273.68</c:v>
                </c:pt>
                <c:pt idx="10">
                  <c:v>245.39599999999999</c:v>
                </c:pt>
                <c:pt idx="11">
                  <c:v>276.41660000000002</c:v>
                </c:pt>
              </c:numCache>
            </c:numRef>
          </c:val>
        </c:ser>
        <c:marker val="1"/>
        <c:axId val="86721280"/>
        <c:axId val="86722816"/>
      </c:lineChart>
      <c:catAx>
        <c:axId val="867212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86722816"/>
        <c:crossesAt val="0"/>
        <c:lblAlgn val="ctr"/>
        <c:lblOffset val="100"/>
        <c:tickLblSkip val="1"/>
        <c:tickMarkSkip val="1"/>
      </c:catAx>
      <c:valAx>
        <c:axId val="86722816"/>
        <c:scaling>
          <c:orientation val="minMax"/>
          <c:max val="4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Juta m3</a:t>
                </a:r>
              </a:p>
            </c:rich>
          </c:tx>
          <c:layout>
            <c:manualLayout>
              <c:xMode val="edge"/>
              <c:yMode val="edge"/>
              <c:x val="7.6103820355788972E-3"/>
              <c:y val="0.4524314937856198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Lucida Handwriting"/>
                <a:ea typeface="Lucida Handwriting"/>
                <a:cs typeface="Lucida Handwriting"/>
              </a:defRPr>
            </a:pPr>
            <a:endParaRPr lang="en-US"/>
          </a:p>
        </c:txPr>
        <c:crossAx val="86721280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txPr>
          <a:bodyPr/>
          <a:lstStyle/>
          <a:p>
            <a:pPr>
              <a:defRPr sz="6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6605792224690004"/>
          <c:y val="0.16332701362438137"/>
          <c:w val="0.11480629023936061"/>
          <c:h val="0.702198689372071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Grafik Volume Waduk Kedungombo 5 tahun</a:t>
            </a:r>
          </a:p>
        </c:rich>
      </c:tx>
      <c:layout>
        <c:manualLayout>
          <c:xMode val="edge"/>
          <c:yMode val="edge"/>
          <c:x val="0.20373019426083475"/>
          <c:y val="4.38095238095239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69123783032042"/>
          <c:y val="0.17584745762711901"/>
          <c:w val="0.7426981919332406"/>
          <c:h val="0.67113375153429422"/>
        </c:manualLayout>
      </c:layout>
      <c:lineChart>
        <c:grouping val="standard"/>
        <c:ser>
          <c:idx val="2"/>
          <c:order val="0"/>
          <c:tx>
            <c:v>2009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GRAOMBO!$B$5:$B$16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GRAOMBO!$C$5:$C$16</c:f>
              <c:numCache>
                <c:formatCode>0.000</c:formatCode>
                <c:ptCount val="12"/>
                <c:pt idx="0">
                  <c:v>371.01799999999997</c:v>
                </c:pt>
                <c:pt idx="1">
                  <c:v>538.33000000000004</c:v>
                </c:pt>
                <c:pt idx="2">
                  <c:v>635.34799999999996</c:v>
                </c:pt>
                <c:pt idx="3">
                  <c:v>613.649</c:v>
                </c:pt>
                <c:pt idx="4">
                  <c:v>588.05100000000004</c:v>
                </c:pt>
                <c:pt idx="5">
                  <c:v>604.51800000000003</c:v>
                </c:pt>
                <c:pt idx="6">
                  <c:v>593.78099999999995</c:v>
                </c:pt>
                <c:pt idx="7">
                  <c:v>585.495</c:v>
                </c:pt>
                <c:pt idx="8">
                  <c:v>464.346</c:v>
                </c:pt>
                <c:pt idx="9">
                  <c:v>331.67700000000002</c:v>
                </c:pt>
                <c:pt idx="10">
                  <c:v>198.15100000000001</c:v>
                </c:pt>
                <c:pt idx="11">
                  <c:v>148.17099999999999</c:v>
                </c:pt>
              </c:numCache>
            </c:numRef>
          </c:val>
        </c:ser>
        <c:ser>
          <c:idx val="3"/>
          <c:order val="1"/>
          <c:tx>
            <c:v>2010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GRAOMBO!$B$5:$B$16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GRAOMBO!$D$5:$D$16</c:f>
              <c:numCache>
                <c:formatCode>0.000</c:formatCode>
                <c:ptCount val="12"/>
                <c:pt idx="0">
                  <c:v>297.31700000000001</c:v>
                </c:pt>
                <c:pt idx="1">
                  <c:v>464.346</c:v>
                </c:pt>
                <c:pt idx="2">
                  <c:v>576.42600000000004</c:v>
                </c:pt>
                <c:pt idx="3">
                  <c:v>635.34799999999996</c:v>
                </c:pt>
                <c:pt idx="4">
                  <c:v>703.10299999999995</c:v>
                </c:pt>
                <c:pt idx="5">
                  <c:v>704.34</c:v>
                </c:pt>
                <c:pt idx="6">
                  <c:v>703.92700000000002</c:v>
                </c:pt>
                <c:pt idx="7">
                  <c:v>710.13199999999995</c:v>
                </c:pt>
                <c:pt idx="8">
                  <c:v>686.98599999999999</c:v>
                </c:pt>
                <c:pt idx="9">
                  <c:v>665.46900000000005</c:v>
                </c:pt>
                <c:pt idx="10">
                  <c:v>655.58699999999999</c:v>
                </c:pt>
                <c:pt idx="11">
                  <c:v>664.27700000000004</c:v>
                </c:pt>
              </c:numCache>
            </c:numRef>
          </c:val>
        </c:ser>
        <c:ser>
          <c:idx val="4"/>
          <c:order val="2"/>
          <c:tx>
            <c:v>2011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Pt>
            <c:idx val="3"/>
            <c:marker>
              <c:symbol val="square"/>
              <c:size val="5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spPr>
              <a:ln w="12700">
                <a:solidFill>
                  <a:srgbClr val="FF0000"/>
                </a:solidFill>
                <a:prstDash val="solid"/>
              </a:ln>
            </c:spPr>
          </c:dPt>
          <c:cat>
            <c:strRef>
              <c:f>GRAOMBO!$B$5:$B$16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GRAOMBO!$E$5:$E$16</c:f>
              <c:numCache>
                <c:formatCode>0.000</c:formatCode>
                <c:ptCount val="12"/>
                <c:pt idx="0">
                  <c:v>626.15</c:v>
                </c:pt>
                <c:pt idx="1">
                  <c:v>632.65599999999995</c:v>
                </c:pt>
                <c:pt idx="2">
                  <c:v>659.923</c:v>
                </c:pt>
                <c:pt idx="3">
                  <c:v>659.923</c:v>
                </c:pt>
                <c:pt idx="4">
                  <c:v>661.9</c:v>
                </c:pt>
                <c:pt idx="5">
                  <c:v>649.70500000000004</c:v>
                </c:pt>
                <c:pt idx="6">
                  <c:v>671.44600000000003</c:v>
                </c:pt>
                <c:pt idx="7">
                  <c:v>664.27700000000004</c:v>
                </c:pt>
                <c:pt idx="8">
                  <c:v>564.245</c:v>
                </c:pt>
                <c:pt idx="9">
                  <c:v>424.15199999999999</c:v>
                </c:pt>
                <c:pt idx="10">
                  <c:v>497.89299999999997</c:v>
                </c:pt>
                <c:pt idx="11">
                  <c:v>543.51700000000005</c:v>
                </c:pt>
              </c:numCache>
            </c:numRef>
          </c:val>
        </c:ser>
        <c:ser>
          <c:idx val="5"/>
          <c:order val="3"/>
          <c:tx>
            <c:v>2012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GRAOMBO!$B$5:$B$16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GRAOMBO!$F$5:$F$16</c:f>
              <c:numCache>
                <c:formatCode>0.000</c:formatCode>
                <c:ptCount val="12"/>
                <c:pt idx="0">
                  <c:v>634.45000000000005</c:v>
                </c:pt>
                <c:pt idx="1">
                  <c:v>685.53</c:v>
                </c:pt>
                <c:pt idx="2">
                  <c:v>679.47</c:v>
                </c:pt>
                <c:pt idx="3">
                  <c:v>655.19399999999996</c:v>
                </c:pt>
                <c:pt idx="4">
                  <c:v>586.59</c:v>
                </c:pt>
                <c:pt idx="5">
                  <c:v>569.24</c:v>
                </c:pt>
                <c:pt idx="6">
                  <c:v>550.83600000000001</c:v>
                </c:pt>
                <c:pt idx="7">
                  <c:v>542.47699999999998</c:v>
                </c:pt>
                <c:pt idx="8">
                  <c:v>525.67700000000002</c:v>
                </c:pt>
                <c:pt idx="9">
                  <c:v>361.69600000000003</c:v>
                </c:pt>
                <c:pt idx="10">
                  <c:v>272.79599999999999</c:v>
                </c:pt>
                <c:pt idx="11">
                  <c:v>81.23</c:v>
                </c:pt>
              </c:numCache>
            </c:numRef>
          </c:val>
        </c:ser>
        <c:ser>
          <c:idx val="6"/>
          <c:order val="4"/>
          <c:tx>
            <c:v>2013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GRAOMBO!$B$5:$B$16</c:f>
              <c:strCache>
                <c:ptCount val="12"/>
                <c:pt idx="0">
                  <c:v>JAN</c:v>
                </c:pt>
                <c:pt idx="1">
                  <c:v>PEB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OKT</c:v>
                </c:pt>
                <c:pt idx="10">
                  <c:v>NOP</c:v>
                </c:pt>
                <c:pt idx="11">
                  <c:v>DES</c:v>
                </c:pt>
              </c:strCache>
            </c:strRef>
          </c:cat>
          <c:val>
            <c:numRef>
              <c:f>GRAOMBO!$G$5:$G$16</c:f>
              <c:numCache>
                <c:formatCode>0.000</c:formatCode>
                <c:ptCount val="12"/>
                <c:pt idx="0">
                  <c:v>438.41699999999997</c:v>
                </c:pt>
                <c:pt idx="1">
                  <c:v>526.01599999999996</c:v>
                </c:pt>
                <c:pt idx="2">
                  <c:v>674.24699999999996</c:v>
                </c:pt>
                <c:pt idx="3">
                  <c:v>721.81299999999999</c:v>
                </c:pt>
                <c:pt idx="4">
                  <c:v>674.64800000000002</c:v>
                </c:pt>
                <c:pt idx="5">
                  <c:v>711.37800000000004</c:v>
                </c:pt>
                <c:pt idx="6">
                  <c:v>682.29399999999998</c:v>
                </c:pt>
                <c:pt idx="7">
                  <c:v>682.29399999999998</c:v>
                </c:pt>
                <c:pt idx="8">
                  <c:v>550.52800000000002</c:v>
                </c:pt>
                <c:pt idx="9">
                  <c:v>410.85300000000001</c:v>
                </c:pt>
                <c:pt idx="10">
                  <c:v>338.93700000000001</c:v>
                </c:pt>
                <c:pt idx="11">
                  <c:v>384.69600000000003</c:v>
                </c:pt>
              </c:numCache>
            </c:numRef>
          </c:val>
        </c:ser>
        <c:marker val="1"/>
        <c:axId val="127969920"/>
        <c:axId val="128619264"/>
      </c:lineChart>
      <c:catAx>
        <c:axId val="1279699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0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619264"/>
        <c:crosses val="autoZero"/>
        <c:lblAlgn val="ctr"/>
        <c:lblOffset val="100"/>
        <c:tickLblSkip val="1"/>
        <c:tickMarkSkip val="1"/>
      </c:catAx>
      <c:valAx>
        <c:axId val="128619264"/>
        <c:scaling>
          <c:orientation val="minMax"/>
          <c:max val="8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Juta m3</a:t>
                </a:r>
              </a:p>
            </c:rich>
          </c:tx>
          <c:layout>
            <c:manualLayout>
              <c:xMode val="edge"/>
              <c:yMode val="edge"/>
              <c:x val="6.95423941572522E-3"/>
              <c:y val="0.48940662417197905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FF66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969920"/>
        <c:crosses val="autoZero"/>
        <c:crossBetween val="between"/>
        <c:majorUnit val="50"/>
        <c:minorUnit val="10"/>
      </c:valAx>
      <c:spPr>
        <a:solidFill>
          <a:srgbClr val="C0C0C0"/>
        </a:solidFill>
        <a:ln w="12700">
          <a:solidFill>
            <a:srgbClr val="CC99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39600066714053"/>
          <c:y val="0.18095238095238153"/>
          <c:w val="0.10186518491208629"/>
          <c:h val="0.673015873015874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19</xdr:row>
      <xdr:rowOff>19050</xdr:rowOff>
    </xdr:from>
    <xdr:to>
      <xdr:col>6</xdr:col>
      <xdr:colOff>800100</xdr:colOff>
      <xdr:row>50</xdr:row>
      <xdr:rowOff>0</xdr:rowOff>
    </xdr:to>
    <xdr:graphicFrame macro="">
      <xdr:nvGraphicFramePr>
        <xdr:cNvPr id="617505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190500</xdr:colOff>
      <xdr:row>153</xdr:row>
      <xdr:rowOff>171450</xdr:rowOff>
    </xdr:from>
    <xdr:to>
      <xdr:col>43</xdr:col>
      <xdr:colOff>85725</xdr:colOff>
      <xdr:row>170</xdr:row>
      <xdr:rowOff>85725</xdr:rowOff>
    </xdr:to>
    <xdr:graphicFrame macro="">
      <xdr:nvGraphicFramePr>
        <xdr:cNvPr id="6562644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79</xdr:row>
      <xdr:rowOff>190500</xdr:rowOff>
    </xdr:from>
    <xdr:to>
      <xdr:col>24</xdr:col>
      <xdr:colOff>209550</xdr:colOff>
      <xdr:row>99</xdr:row>
      <xdr:rowOff>0</xdr:rowOff>
    </xdr:to>
    <xdr:graphicFrame macro="">
      <xdr:nvGraphicFramePr>
        <xdr:cNvPr id="656264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46</xdr:row>
      <xdr:rowOff>38100</xdr:rowOff>
    </xdr:from>
    <xdr:to>
      <xdr:col>24</xdr:col>
      <xdr:colOff>57150</xdr:colOff>
      <xdr:row>58</xdr:row>
      <xdr:rowOff>19050</xdr:rowOff>
    </xdr:to>
    <xdr:graphicFrame macro="">
      <xdr:nvGraphicFramePr>
        <xdr:cNvPr id="656264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228600</xdr:colOff>
      <xdr:row>68</xdr:row>
      <xdr:rowOff>104775</xdr:rowOff>
    </xdr:from>
    <xdr:to>
      <xdr:col>24</xdr:col>
      <xdr:colOff>142875</xdr:colOff>
      <xdr:row>77</xdr:row>
      <xdr:rowOff>95250</xdr:rowOff>
    </xdr:to>
    <xdr:graphicFrame macro="">
      <xdr:nvGraphicFramePr>
        <xdr:cNvPr id="656264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38100</xdr:rowOff>
    </xdr:from>
    <xdr:to>
      <xdr:col>7</xdr:col>
      <xdr:colOff>942975</xdr:colOff>
      <xdr:row>58</xdr:row>
      <xdr:rowOff>85725</xdr:rowOff>
    </xdr:to>
    <xdr:graphicFrame macro="">
      <xdr:nvGraphicFramePr>
        <xdr:cNvPr id="6066417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97</xdr:row>
      <xdr:rowOff>9525</xdr:rowOff>
    </xdr:from>
    <xdr:to>
      <xdr:col>9</xdr:col>
      <xdr:colOff>590550</xdr:colOff>
      <xdr:row>124</xdr:row>
      <xdr:rowOff>19050</xdr:rowOff>
    </xdr:to>
    <xdr:graphicFrame macro="">
      <xdr:nvGraphicFramePr>
        <xdr:cNvPr id="605887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52</xdr:row>
      <xdr:rowOff>0</xdr:rowOff>
    </xdr:from>
    <xdr:to>
      <xdr:col>10</xdr:col>
      <xdr:colOff>57150</xdr:colOff>
      <xdr:row>90</xdr:row>
      <xdr:rowOff>95250</xdr:rowOff>
    </xdr:to>
    <xdr:graphicFrame macro="">
      <xdr:nvGraphicFramePr>
        <xdr:cNvPr id="605887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0.08824</cdr:x>
      <cdr:y>0.01906</cdr:y>
    </cdr:from>
    <cdr:to>
      <cdr:x>0.89965</cdr:x>
      <cdr:y>0.17176</cdr:y>
    </cdr:to>
    <cdr:sp macro="" textlink="">
      <cdr:nvSpPr>
        <cdr:cNvPr id="9072641" name="Text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822" y="95117"/>
          <a:ext cx="6817509" cy="730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GRAFIK  VOLUME RENCANA REALISASI WADUK-WADUK KECIL</a:t>
          </a:r>
        </a:p>
        <a:p xmlns:a="http://schemas.openxmlformats.org/drawingml/2006/main"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MINGGU  I</a:t>
          </a:r>
          <a:r>
            <a:rPr lang="en-US" sz="1400" b="1" i="0" strike="noStrike" baseline="0">
              <a:solidFill>
                <a:srgbClr val="000000"/>
              </a:solidFill>
              <a:latin typeface="Calibri"/>
            </a:rPr>
            <a:t>  JANUARI</a:t>
          </a:r>
          <a:r>
            <a:rPr lang="en-US" sz="1400" b="1" i="0" strike="noStrike">
              <a:solidFill>
                <a:srgbClr val="000000"/>
              </a:solidFill>
              <a:latin typeface="Calibri"/>
            </a:rPr>
            <a:t>  2014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0.08678</cdr:x>
      <cdr:y>0.04258</cdr:y>
    </cdr:from>
    <cdr:to>
      <cdr:x>0.80596</cdr:x>
      <cdr:y>0.13278</cdr:y>
    </cdr:to>
    <cdr:sp macro="" textlink="">
      <cdr:nvSpPr>
        <cdr:cNvPr id="13661185" name="Text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408" y="289116"/>
          <a:ext cx="5985725" cy="605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</a:rPr>
            <a:t>GRAFIK  ELEVASI RENCANA DAN REALISASI WADUK - WADUK  KECIL</a:t>
          </a:r>
        </a:p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</a:rPr>
            <a:t>MINGGU  I</a:t>
          </a:r>
          <a:r>
            <a:rPr lang="en-US" sz="1200" b="1" i="0" strike="noStrike" baseline="0">
              <a:solidFill>
                <a:srgbClr val="000000"/>
              </a:solidFill>
              <a:latin typeface="Calibri"/>
            </a:rPr>
            <a:t> JANUARI</a:t>
          </a:r>
          <a:r>
            <a:rPr lang="en-US" sz="1200" b="1" i="0" strike="noStrike">
              <a:solidFill>
                <a:srgbClr val="000000"/>
              </a:solidFill>
              <a:latin typeface="Calibri"/>
            </a:rPr>
            <a:t> 2014</a:t>
          </a:r>
        </a:p>
        <a:p xmlns:a="http://schemas.openxmlformats.org/drawingml/2006/main"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</a:rPr>
            <a:t> 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28</xdr:row>
      <xdr:rowOff>19050</xdr:rowOff>
    </xdr:from>
    <xdr:to>
      <xdr:col>9</xdr:col>
      <xdr:colOff>476250</xdr:colOff>
      <xdr:row>65</xdr:row>
      <xdr:rowOff>114300</xdr:rowOff>
    </xdr:to>
    <xdr:graphicFrame macro="">
      <xdr:nvGraphicFramePr>
        <xdr:cNvPr id="6066827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57150</xdr:rowOff>
    </xdr:from>
    <xdr:to>
      <xdr:col>6</xdr:col>
      <xdr:colOff>666750</xdr:colOff>
      <xdr:row>42</xdr:row>
      <xdr:rowOff>19050</xdr:rowOff>
    </xdr:to>
    <xdr:graphicFrame macro="">
      <xdr:nvGraphicFramePr>
        <xdr:cNvPr id="60645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124558</xdr:colOff>
      <xdr:row>17</xdr:row>
      <xdr:rowOff>153866</xdr:rowOff>
    </xdr:from>
    <xdr:to>
      <xdr:col>6</xdr:col>
      <xdr:colOff>630115</xdr:colOff>
      <xdr:row>42</xdr:row>
      <xdr:rowOff>139212</xdr:rowOff>
    </xdr:to>
    <xdr:graphicFrame macro="">
      <xdr:nvGraphicFramePr>
        <xdr:cNvPr id="60647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114300</xdr:rowOff>
    </xdr:from>
    <xdr:to>
      <xdr:col>6</xdr:col>
      <xdr:colOff>971550</xdr:colOff>
      <xdr:row>45</xdr:row>
      <xdr:rowOff>133350</xdr:rowOff>
    </xdr:to>
    <xdr:graphicFrame macro="">
      <xdr:nvGraphicFramePr>
        <xdr:cNvPr id="60649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76200</xdr:rowOff>
    </xdr:from>
    <xdr:to>
      <xdr:col>6</xdr:col>
      <xdr:colOff>876300</xdr:colOff>
      <xdr:row>45</xdr:row>
      <xdr:rowOff>142875</xdr:rowOff>
    </xdr:to>
    <xdr:graphicFrame macro="">
      <xdr:nvGraphicFramePr>
        <xdr:cNvPr id="605955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20</xdr:row>
      <xdr:rowOff>28575</xdr:rowOff>
    </xdr:from>
    <xdr:to>
      <xdr:col>7</xdr:col>
      <xdr:colOff>352425</xdr:colOff>
      <xdr:row>48</xdr:row>
      <xdr:rowOff>152400</xdr:rowOff>
    </xdr:to>
    <xdr:graphicFrame macro="">
      <xdr:nvGraphicFramePr>
        <xdr:cNvPr id="60652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16</xdr:row>
      <xdr:rowOff>142875</xdr:rowOff>
    </xdr:from>
    <xdr:to>
      <xdr:col>6</xdr:col>
      <xdr:colOff>628650</xdr:colOff>
      <xdr:row>45</xdr:row>
      <xdr:rowOff>152400</xdr:rowOff>
    </xdr:to>
    <xdr:graphicFrame macro="">
      <xdr:nvGraphicFramePr>
        <xdr:cNvPr id="548328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18</xdr:row>
      <xdr:rowOff>133350</xdr:rowOff>
    </xdr:from>
    <xdr:to>
      <xdr:col>6</xdr:col>
      <xdr:colOff>628650</xdr:colOff>
      <xdr:row>45</xdr:row>
      <xdr:rowOff>152400</xdr:rowOff>
    </xdr:to>
    <xdr:graphicFrame macro="">
      <xdr:nvGraphicFramePr>
        <xdr:cNvPr id="606559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19</xdr:row>
      <xdr:rowOff>19050</xdr:rowOff>
    </xdr:from>
    <xdr:to>
      <xdr:col>6</xdr:col>
      <xdr:colOff>800100</xdr:colOff>
      <xdr:row>50</xdr:row>
      <xdr:rowOff>0</xdr:rowOff>
    </xdr:to>
    <xdr:graphicFrame macro="">
      <xdr:nvGraphicFramePr>
        <xdr:cNvPr id="60658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LILLAHI%20TA%20ALLA/1.%20WADUK/1.%20JANUARI/Waduk%20%20MINGGU%20%20%20IV%20%20Januari%20%2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BASE/VOLUME%20HARIAN%20WADUK/VOL%20%20WD%20%20%20SE%20JATE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hun%202010/1.%20LILLAHI%20TA%20ALLA/1.%20WADUK/2.%20PEBRUARI/Waduk%20%20MINGGU%20%20%20IV%20%20Prebruari%20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hun%202010/1.%20LILLAHI%20TA%20ALLA/1.%20WADUK/3.%20MARET/Waduk%20%20MINGGU%20%20%20V%20%20Maret%20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hun%202010/1.%20LILLAHI%20TA%20ALLA/1.%20WADUK/4.%20APRIL/Waduk%20%20MINGGU%20%20%20IV%20%20APRIL%20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ahun%202010/1.%20LILLAHI%20TA%20ALLA/1.%20WADUK/5.%20MEI/Waduk%20%20MINGGU%20%20%20V%20%20MEI%20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ahun%202010/1.%20LILLAHI%20TA%20ALLA/1.%20WADUK/8.%20AGUSTUS/Waduk%20%20MINGGU%20%20V%20%20AGUSTUS%20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Tahun%202010/1.%20LILLAHI%20TA%20ALLA/1.%20WADUK/9.%20SEPTEMBER/Waduk%20%20MINGGU%20%20IV%20%20SEPTEMBER%20%20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Tahun%202010/1.%20LILLAHI%20TA%20ALLA/1.%20WADUK/10.%20OKTOBER/Waduk%20%20MINGGU%20%20IV%20%20OKTOBER%20%20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Tahun%202010/1.%20LILLAHI%20TA%20ALLA/1.%20WADUK/11.%20NOPEMBER/Waduk%20%20MINGGU%20%20V%20%20NOPEMBER%20%20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297.31700000000001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ormal"/>
      <sheetName val="kabisat"/>
      <sheetName val="15-harian"/>
      <sheetName val="bulanan"/>
      <sheetName val="Sheet1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Z15" t="str">
            <v>Jan</v>
          </cell>
          <cell r="BA15" t="str">
            <v>Feb</v>
          </cell>
          <cell r="BB15" t="str">
            <v>Mar</v>
          </cell>
          <cell r="BC15" t="str">
            <v>Apr</v>
          </cell>
          <cell r="BD15" t="str">
            <v>Mei</v>
          </cell>
          <cell r="BE15" t="str">
            <v>Jun</v>
          </cell>
          <cell r="BF15" t="str">
            <v>Jul</v>
          </cell>
          <cell r="BG15" t="str">
            <v>Ags</v>
          </cell>
          <cell r="BH15" t="str">
            <v>Sep</v>
          </cell>
          <cell r="BI15" t="str">
            <v>Okt</v>
          </cell>
          <cell r="BJ15" t="str">
            <v>Nop</v>
          </cell>
          <cell r="BK15" t="str">
            <v>Des</v>
          </cell>
        </row>
        <row r="49">
          <cell r="AZ49">
            <v>1292</v>
          </cell>
          <cell r="BA49">
            <v>1458</v>
          </cell>
          <cell r="BB49">
            <v>1617</v>
          </cell>
          <cell r="BC49">
            <v>1802.03</v>
          </cell>
          <cell r="BD49">
            <v>1735</v>
          </cell>
          <cell r="BE49">
            <v>1736.6</v>
          </cell>
          <cell r="BF49">
            <v>1689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AZ50">
            <v>1175.662</v>
          </cell>
          <cell r="BA50">
            <v>1374.25</v>
          </cell>
          <cell r="BB50">
            <v>1546.117741935484</v>
          </cell>
          <cell r="BC50">
            <v>1730.5885999999996</v>
          </cell>
          <cell r="BD50">
            <v>1686.8815161290322</v>
          </cell>
          <cell r="BE50">
            <v>1699.6486666666667</v>
          </cell>
          <cell r="BF50">
            <v>1183.6194838709678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</row>
        <row r="51">
          <cell r="AZ51">
            <v>954.81</v>
          </cell>
          <cell r="BA51">
            <v>1300</v>
          </cell>
          <cell r="BB51">
            <v>1457</v>
          </cell>
          <cell r="BC51">
            <v>1622.7</v>
          </cell>
          <cell r="BD51">
            <v>1657</v>
          </cell>
          <cell r="BE51">
            <v>1672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</row>
        <row r="66">
          <cell r="BN66">
            <v>41275</v>
          </cell>
          <cell r="BP66">
            <v>0</v>
          </cell>
        </row>
        <row r="67">
          <cell r="BN67">
            <v>41276</v>
          </cell>
          <cell r="BP67">
            <v>0</v>
          </cell>
        </row>
        <row r="68">
          <cell r="BN68">
            <v>41277</v>
          </cell>
          <cell r="BP68">
            <v>0</v>
          </cell>
        </row>
        <row r="69">
          <cell r="BN69">
            <v>41278</v>
          </cell>
          <cell r="BP69">
            <v>0</v>
          </cell>
        </row>
        <row r="70">
          <cell r="BN70">
            <v>41279</v>
          </cell>
          <cell r="BP70">
            <v>0</v>
          </cell>
        </row>
        <row r="71">
          <cell r="BN71">
            <v>41280</v>
          </cell>
          <cell r="BP71">
            <v>0</v>
          </cell>
        </row>
        <row r="72">
          <cell r="BN72">
            <v>41281</v>
          </cell>
          <cell r="BP72">
            <v>0</v>
          </cell>
        </row>
        <row r="73">
          <cell r="BN73">
            <v>41282</v>
          </cell>
          <cell r="BP73">
            <v>0</v>
          </cell>
        </row>
        <row r="74">
          <cell r="BN74">
            <v>41283</v>
          </cell>
          <cell r="BP74">
            <v>0</v>
          </cell>
        </row>
        <row r="75">
          <cell r="BN75">
            <v>41284</v>
          </cell>
          <cell r="BP75">
            <v>0</v>
          </cell>
        </row>
        <row r="76">
          <cell r="BN76">
            <v>41285</v>
          </cell>
          <cell r="BP76">
            <v>0</v>
          </cell>
        </row>
        <row r="77">
          <cell r="BN77">
            <v>41286</v>
          </cell>
          <cell r="BP77">
            <v>0</v>
          </cell>
        </row>
        <row r="78">
          <cell r="BN78">
            <v>41287</v>
          </cell>
          <cell r="BP78">
            <v>0</v>
          </cell>
        </row>
        <row r="79">
          <cell r="BN79">
            <v>41288</v>
          </cell>
          <cell r="BP79">
            <v>0</v>
          </cell>
        </row>
        <row r="80">
          <cell r="BN80">
            <v>41289</v>
          </cell>
          <cell r="BP80">
            <v>0</v>
          </cell>
        </row>
        <row r="81">
          <cell r="BN81">
            <v>41290</v>
          </cell>
          <cell r="BP81">
            <v>0</v>
          </cell>
        </row>
        <row r="82">
          <cell r="BN82">
            <v>41291</v>
          </cell>
          <cell r="BP82">
            <v>0</v>
          </cell>
        </row>
        <row r="83">
          <cell r="BN83">
            <v>41292</v>
          </cell>
          <cell r="BP83">
            <v>0</v>
          </cell>
        </row>
        <row r="84">
          <cell r="BN84">
            <v>41293</v>
          </cell>
          <cell r="BP84">
            <v>0</v>
          </cell>
        </row>
        <row r="85">
          <cell r="BN85">
            <v>41294</v>
          </cell>
          <cell r="BP85">
            <v>0</v>
          </cell>
        </row>
        <row r="86">
          <cell r="BN86">
            <v>41295</v>
          </cell>
          <cell r="BP86">
            <v>0</v>
          </cell>
        </row>
        <row r="87">
          <cell r="BN87">
            <v>41296</v>
          </cell>
          <cell r="BP87">
            <v>0</v>
          </cell>
        </row>
        <row r="88">
          <cell r="BN88">
            <v>41297</v>
          </cell>
          <cell r="BP88">
            <v>0</v>
          </cell>
        </row>
        <row r="89">
          <cell r="BN89">
            <v>41298</v>
          </cell>
          <cell r="BP89">
            <v>0</v>
          </cell>
        </row>
        <row r="90">
          <cell r="BN90">
            <v>41299</v>
          </cell>
          <cell r="BP90">
            <v>0</v>
          </cell>
        </row>
        <row r="91">
          <cell r="BN91">
            <v>41300</v>
          </cell>
          <cell r="BP91">
            <v>0</v>
          </cell>
        </row>
        <row r="92">
          <cell r="BN92">
            <v>41301</v>
          </cell>
          <cell r="BP92">
            <v>0</v>
          </cell>
        </row>
        <row r="93">
          <cell r="BN93">
            <v>41302</v>
          </cell>
          <cell r="BP93">
            <v>0</v>
          </cell>
        </row>
        <row r="94">
          <cell r="BN94">
            <v>41303</v>
          </cell>
          <cell r="BP94">
            <v>0</v>
          </cell>
        </row>
        <row r="95">
          <cell r="BN95">
            <v>41304</v>
          </cell>
          <cell r="BP95">
            <v>0</v>
          </cell>
        </row>
        <row r="96">
          <cell r="BN96">
            <v>41305</v>
          </cell>
          <cell r="BP96">
            <v>0</v>
          </cell>
        </row>
        <row r="97">
          <cell r="BN97">
            <v>41306</v>
          </cell>
          <cell r="BP97">
            <v>0</v>
          </cell>
        </row>
        <row r="98">
          <cell r="BN98">
            <v>41307</v>
          </cell>
          <cell r="BP98">
            <v>0</v>
          </cell>
        </row>
        <row r="99">
          <cell r="BN99">
            <v>41308</v>
          </cell>
          <cell r="BP99">
            <v>0</v>
          </cell>
        </row>
        <row r="100">
          <cell r="BN100">
            <v>41309</v>
          </cell>
          <cell r="BP100">
            <v>0</v>
          </cell>
        </row>
        <row r="101">
          <cell r="BN101">
            <v>41310</v>
          </cell>
          <cell r="BP101">
            <v>0</v>
          </cell>
        </row>
        <row r="102">
          <cell r="BN102">
            <v>41311</v>
          </cell>
          <cell r="BP102">
            <v>0</v>
          </cell>
        </row>
        <row r="103">
          <cell r="BN103">
            <v>41312</v>
          </cell>
          <cell r="BP103">
            <v>0</v>
          </cell>
        </row>
        <row r="104">
          <cell r="BN104">
            <v>41313</v>
          </cell>
          <cell r="BP104">
            <v>0</v>
          </cell>
        </row>
        <row r="105">
          <cell r="BN105">
            <v>41314</v>
          </cell>
          <cell r="BP105">
            <v>0</v>
          </cell>
        </row>
        <row r="106">
          <cell r="BN106">
            <v>41315</v>
          </cell>
          <cell r="BP106">
            <v>0</v>
          </cell>
        </row>
        <row r="107">
          <cell r="BN107">
            <v>41316</v>
          </cell>
          <cell r="BP107">
            <v>0</v>
          </cell>
        </row>
        <row r="108">
          <cell r="BN108">
            <v>41317</v>
          </cell>
          <cell r="BP108">
            <v>0</v>
          </cell>
        </row>
        <row r="109">
          <cell r="BN109">
            <v>41318</v>
          </cell>
          <cell r="BP109">
            <v>0</v>
          </cell>
        </row>
        <row r="110">
          <cell r="BN110">
            <v>41319</v>
          </cell>
          <cell r="BP110">
            <v>0</v>
          </cell>
        </row>
        <row r="111">
          <cell r="BN111">
            <v>41320</v>
          </cell>
          <cell r="BP111">
            <v>0</v>
          </cell>
        </row>
        <row r="112">
          <cell r="BN112">
            <v>41321</v>
          </cell>
          <cell r="BP112">
            <v>0</v>
          </cell>
        </row>
        <row r="113">
          <cell r="BN113">
            <v>41322</v>
          </cell>
          <cell r="BP113">
            <v>0</v>
          </cell>
        </row>
        <row r="114">
          <cell r="BN114">
            <v>41323</v>
          </cell>
          <cell r="BP114">
            <v>0</v>
          </cell>
        </row>
        <row r="115">
          <cell r="BN115">
            <v>41324</v>
          </cell>
          <cell r="BP115">
            <v>0</v>
          </cell>
        </row>
        <row r="116">
          <cell r="BN116">
            <v>41325</v>
          </cell>
          <cell r="BP116">
            <v>0</v>
          </cell>
        </row>
        <row r="117">
          <cell r="BN117">
            <v>41326</v>
          </cell>
          <cell r="BP117">
            <v>0</v>
          </cell>
        </row>
        <row r="118">
          <cell r="BN118">
            <v>41327</v>
          </cell>
          <cell r="BP118">
            <v>0</v>
          </cell>
        </row>
        <row r="119">
          <cell r="BN119">
            <v>41328</v>
          </cell>
          <cell r="BP119">
            <v>0</v>
          </cell>
        </row>
        <row r="120">
          <cell r="BN120">
            <v>41329</v>
          </cell>
          <cell r="BP120">
            <v>0</v>
          </cell>
        </row>
        <row r="121">
          <cell r="BN121">
            <v>41330</v>
          </cell>
          <cell r="BP121">
            <v>0</v>
          </cell>
        </row>
        <row r="122">
          <cell r="BN122">
            <v>41331</v>
          </cell>
          <cell r="BP122">
            <v>0</v>
          </cell>
        </row>
        <row r="123">
          <cell r="BN123">
            <v>41332</v>
          </cell>
          <cell r="BP123">
            <v>0</v>
          </cell>
        </row>
        <row r="124">
          <cell r="BN124">
            <v>41333</v>
          </cell>
          <cell r="BP124">
            <v>0</v>
          </cell>
        </row>
        <row r="125">
          <cell r="BN125">
            <v>41334</v>
          </cell>
          <cell r="BP125">
            <v>0</v>
          </cell>
        </row>
        <row r="126">
          <cell r="BN126">
            <v>41335</v>
          </cell>
          <cell r="BP126">
            <v>0</v>
          </cell>
        </row>
        <row r="127">
          <cell r="BN127">
            <v>41336</v>
          </cell>
          <cell r="BP127">
            <v>0</v>
          </cell>
        </row>
        <row r="128">
          <cell r="BN128">
            <v>41337</v>
          </cell>
          <cell r="BP128">
            <v>0</v>
          </cell>
        </row>
        <row r="129">
          <cell r="BN129">
            <v>41338</v>
          </cell>
          <cell r="BP129">
            <v>0</v>
          </cell>
        </row>
        <row r="130">
          <cell r="BN130">
            <v>41339</v>
          </cell>
          <cell r="BP130">
            <v>0</v>
          </cell>
        </row>
        <row r="131">
          <cell r="BN131">
            <v>41340</v>
          </cell>
          <cell r="BP131">
            <v>0</v>
          </cell>
        </row>
        <row r="132">
          <cell r="BN132">
            <v>41341</v>
          </cell>
          <cell r="BP132">
            <v>0</v>
          </cell>
        </row>
        <row r="133">
          <cell r="BN133">
            <v>41342</v>
          </cell>
          <cell r="BP133">
            <v>0</v>
          </cell>
        </row>
        <row r="134">
          <cell r="BN134">
            <v>41343</v>
          </cell>
          <cell r="BP134">
            <v>0</v>
          </cell>
        </row>
        <row r="135">
          <cell r="BN135">
            <v>41344</v>
          </cell>
          <cell r="BP135">
            <v>0</v>
          </cell>
        </row>
        <row r="136">
          <cell r="BN136">
            <v>41345</v>
          </cell>
          <cell r="BP136">
            <v>0</v>
          </cell>
        </row>
        <row r="137">
          <cell r="BN137">
            <v>41346</v>
          </cell>
          <cell r="BP137">
            <v>0</v>
          </cell>
        </row>
        <row r="138">
          <cell r="BN138">
            <v>41347</v>
          </cell>
          <cell r="BP138">
            <v>0</v>
          </cell>
        </row>
        <row r="139">
          <cell r="BN139">
            <v>41348</v>
          </cell>
          <cell r="BP139">
            <v>0</v>
          </cell>
        </row>
        <row r="140">
          <cell r="BN140">
            <v>41349</v>
          </cell>
          <cell r="BP140">
            <v>0</v>
          </cell>
        </row>
        <row r="141">
          <cell r="BN141">
            <v>41350</v>
          </cell>
          <cell r="BP141">
            <v>0</v>
          </cell>
        </row>
        <row r="142">
          <cell r="BN142">
            <v>41351</v>
          </cell>
          <cell r="BP142">
            <v>0</v>
          </cell>
        </row>
        <row r="143">
          <cell r="BN143">
            <v>41352</v>
          </cell>
          <cell r="BP143">
            <v>0</v>
          </cell>
        </row>
        <row r="144">
          <cell r="BN144">
            <v>41353</v>
          </cell>
          <cell r="BP144">
            <v>0</v>
          </cell>
        </row>
        <row r="145">
          <cell r="BN145">
            <v>41354</v>
          </cell>
          <cell r="BP145">
            <v>0</v>
          </cell>
        </row>
        <row r="146">
          <cell r="BN146">
            <v>41355</v>
          </cell>
          <cell r="BP146">
            <v>0</v>
          </cell>
        </row>
        <row r="147">
          <cell r="BN147">
            <v>41356</v>
          </cell>
          <cell r="BP147">
            <v>0</v>
          </cell>
        </row>
        <row r="148">
          <cell r="BN148">
            <v>41357</v>
          </cell>
          <cell r="BP148">
            <v>0</v>
          </cell>
        </row>
        <row r="149">
          <cell r="BN149">
            <v>41358</v>
          </cell>
          <cell r="BP149">
            <v>0</v>
          </cell>
        </row>
        <row r="150">
          <cell r="BN150">
            <v>41359</v>
          </cell>
          <cell r="BP150">
            <v>0</v>
          </cell>
        </row>
        <row r="151">
          <cell r="BN151">
            <v>41360</v>
          </cell>
          <cell r="BP151">
            <v>0</v>
          </cell>
        </row>
        <row r="152">
          <cell r="BN152">
            <v>41361</v>
          </cell>
          <cell r="BP152">
            <v>0</v>
          </cell>
        </row>
        <row r="153">
          <cell r="BN153">
            <v>41362</v>
          </cell>
          <cell r="BP153">
            <v>0</v>
          </cell>
        </row>
        <row r="154">
          <cell r="BN154">
            <v>41363</v>
          </cell>
          <cell r="BP154">
            <v>0</v>
          </cell>
        </row>
        <row r="155">
          <cell r="BN155">
            <v>41364</v>
          </cell>
          <cell r="BP155">
            <v>0</v>
          </cell>
        </row>
        <row r="156">
          <cell r="BN156">
            <v>41365</v>
          </cell>
          <cell r="BP156">
            <v>0</v>
          </cell>
        </row>
        <row r="157">
          <cell r="BN157">
            <v>41366</v>
          </cell>
          <cell r="BP157">
            <v>0</v>
          </cell>
        </row>
        <row r="158">
          <cell r="BN158">
            <v>41367</v>
          </cell>
          <cell r="BP158">
            <v>0</v>
          </cell>
        </row>
        <row r="159">
          <cell r="BN159">
            <v>41368</v>
          </cell>
          <cell r="BP159">
            <v>0</v>
          </cell>
        </row>
        <row r="160">
          <cell r="BN160">
            <v>41369</v>
          </cell>
          <cell r="BP160">
            <v>0</v>
          </cell>
        </row>
        <row r="161">
          <cell r="BN161">
            <v>41370</v>
          </cell>
          <cell r="BP161">
            <v>0</v>
          </cell>
        </row>
        <row r="162">
          <cell r="BN162">
            <v>41371</v>
          </cell>
          <cell r="BP162">
            <v>0</v>
          </cell>
        </row>
        <row r="163">
          <cell r="BN163">
            <v>41372</v>
          </cell>
          <cell r="BP163">
            <v>0</v>
          </cell>
        </row>
        <row r="164">
          <cell r="BN164">
            <v>41373</v>
          </cell>
          <cell r="BP164">
            <v>0</v>
          </cell>
        </row>
        <row r="165">
          <cell r="BN165">
            <v>41374</v>
          </cell>
          <cell r="BP165">
            <v>0</v>
          </cell>
        </row>
        <row r="166">
          <cell r="BN166">
            <v>41375</v>
          </cell>
          <cell r="BP166">
            <v>0</v>
          </cell>
        </row>
        <row r="167">
          <cell r="BN167">
            <v>41376</v>
          </cell>
          <cell r="BP167">
            <v>0</v>
          </cell>
        </row>
        <row r="168">
          <cell r="BN168">
            <v>41377</v>
          </cell>
          <cell r="BP168">
            <v>0</v>
          </cell>
        </row>
        <row r="169">
          <cell r="BN169">
            <v>41378</v>
          </cell>
          <cell r="BP169">
            <v>0</v>
          </cell>
        </row>
        <row r="170">
          <cell r="BN170">
            <v>41379</v>
          </cell>
          <cell r="BP170">
            <v>0</v>
          </cell>
        </row>
        <row r="171">
          <cell r="BN171">
            <v>41380</v>
          </cell>
          <cell r="BP171">
            <v>0</v>
          </cell>
        </row>
        <row r="172">
          <cell r="BN172">
            <v>41381</v>
          </cell>
          <cell r="BP172">
            <v>0</v>
          </cell>
        </row>
        <row r="173">
          <cell r="BN173">
            <v>41382</v>
          </cell>
          <cell r="BP173">
            <v>0</v>
          </cell>
        </row>
        <row r="174">
          <cell r="BN174">
            <v>41383</v>
          </cell>
          <cell r="BP174">
            <v>0</v>
          </cell>
        </row>
        <row r="175">
          <cell r="BN175">
            <v>41384</v>
          </cell>
          <cell r="BP175">
            <v>0</v>
          </cell>
        </row>
        <row r="176">
          <cell r="BN176">
            <v>41385</v>
          </cell>
          <cell r="BP176">
            <v>0</v>
          </cell>
        </row>
        <row r="177">
          <cell r="BN177">
            <v>41386</v>
          </cell>
          <cell r="BP177">
            <v>0</v>
          </cell>
        </row>
        <row r="178">
          <cell r="BN178">
            <v>41387</v>
          </cell>
          <cell r="BP178">
            <v>0</v>
          </cell>
        </row>
        <row r="179">
          <cell r="BN179">
            <v>41388</v>
          </cell>
          <cell r="BP179">
            <v>0</v>
          </cell>
        </row>
        <row r="180">
          <cell r="BN180">
            <v>41389</v>
          </cell>
          <cell r="BP180">
            <v>0</v>
          </cell>
        </row>
        <row r="181">
          <cell r="BN181">
            <v>41390</v>
          </cell>
          <cell r="BP181">
            <v>0</v>
          </cell>
        </row>
        <row r="182">
          <cell r="BN182">
            <v>41391</v>
          </cell>
          <cell r="BP182">
            <v>0</v>
          </cell>
        </row>
        <row r="183">
          <cell r="BN183">
            <v>41392</v>
          </cell>
          <cell r="BP183">
            <v>0</v>
          </cell>
        </row>
        <row r="184">
          <cell r="BN184">
            <v>41393</v>
          </cell>
          <cell r="BP184">
            <v>0</v>
          </cell>
        </row>
        <row r="185">
          <cell r="BN185">
            <v>41394</v>
          </cell>
          <cell r="BP185">
            <v>0</v>
          </cell>
        </row>
        <row r="186">
          <cell r="BN186">
            <v>41395</v>
          </cell>
          <cell r="BP186">
            <v>0</v>
          </cell>
        </row>
        <row r="187">
          <cell r="BN187">
            <v>41396</v>
          </cell>
          <cell r="BP187">
            <v>0</v>
          </cell>
        </row>
        <row r="188">
          <cell r="BN188">
            <v>41397</v>
          </cell>
          <cell r="BP188">
            <v>0</v>
          </cell>
        </row>
        <row r="189">
          <cell r="BN189">
            <v>41398</v>
          </cell>
          <cell r="BP189">
            <v>0</v>
          </cell>
        </row>
        <row r="190">
          <cell r="BN190">
            <v>41399</v>
          </cell>
          <cell r="BP190">
            <v>0</v>
          </cell>
        </row>
        <row r="191">
          <cell r="BN191">
            <v>41400</v>
          </cell>
          <cell r="BP191">
            <v>0</v>
          </cell>
        </row>
        <row r="192">
          <cell r="BN192">
            <v>41401</v>
          </cell>
          <cell r="BP192">
            <v>0</v>
          </cell>
        </row>
        <row r="193">
          <cell r="BN193">
            <v>41402</v>
          </cell>
          <cell r="BP193">
            <v>0</v>
          </cell>
        </row>
        <row r="194">
          <cell r="BN194">
            <v>41403</v>
          </cell>
          <cell r="BP194">
            <v>0</v>
          </cell>
        </row>
        <row r="195">
          <cell r="BN195">
            <v>41404</v>
          </cell>
          <cell r="BP195">
            <v>0</v>
          </cell>
        </row>
        <row r="196">
          <cell r="BN196">
            <v>41405</v>
          </cell>
          <cell r="BP196">
            <v>0</v>
          </cell>
        </row>
        <row r="197">
          <cell r="BN197">
            <v>41406</v>
          </cell>
          <cell r="BP197">
            <v>0</v>
          </cell>
        </row>
        <row r="198">
          <cell r="BN198">
            <v>41407</v>
          </cell>
          <cell r="BP198">
            <v>0</v>
          </cell>
        </row>
        <row r="199">
          <cell r="BN199">
            <v>41408</v>
          </cell>
          <cell r="BP199">
            <v>0</v>
          </cell>
        </row>
        <row r="200">
          <cell r="BN200">
            <v>41409</v>
          </cell>
          <cell r="BP200">
            <v>0</v>
          </cell>
        </row>
        <row r="201">
          <cell r="BN201">
            <v>41410</v>
          </cell>
          <cell r="BP201">
            <v>0</v>
          </cell>
        </row>
        <row r="202">
          <cell r="BN202">
            <v>41411</v>
          </cell>
          <cell r="BP202">
            <v>0</v>
          </cell>
        </row>
        <row r="203">
          <cell r="BN203">
            <v>41412</v>
          </cell>
          <cell r="BP203">
            <v>0</v>
          </cell>
        </row>
        <row r="204">
          <cell r="BN204">
            <v>41413</v>
          </cell>
          <cell r="BP204">
            <v>0</v>
          </cell>
        </row>
        <row r="205">
          <cell r="BN205">
            <v>41414</v>
          </cell>
          <cell r="BP205">
            <v>0</v>
          </cell>
        </row>
        <row r="206">
          <cell r="BN206">
            <v>41415</v>
          </cell>
          <cell r="BP206">
            <v>0</v>
          </cell>
        </row>
        <row r="207">
          <cell r="BN207">
            <v>41416</v>
          </cell>
          <cell r="BP207">
            <v>0</v>
          </cell>
        </row>
        <row r="208">
          <cell r="BN208">
            <v>41417</v>
          </cell>
          <cell r="BP208">
            <v>0</v>
          </cell>
        </row>
        <row r="209">
          <cell r="BN209">
            <v>41418</v>
          </cell>
          <cell r="BP209">
            <v>0</v>
          </cell>
        </row>
        <row r="210">
          <cell r="BN210">
            <v>41419</v>
          </cell>
          <cell r="BP210">
            <v>0</v>
          </cell>
        </row>
        <row r="211">
          <cell r="BN211">
            <v>41420</v>
          </cell>
          <cell r="BP211">
            <v>0</v>
          </cell>
        </row>
        <row r="212">
          <cell r="BN212">
            <v>41421</v>
          </cell>
          <cell r="BP212">
            <v>0</v>
          </cell>
        </row>
        <row r="213">
          <cell r="BN213">
            <v>41422</v>
          </cell>
          <cell r="BP213">
            <v>0</v>
          </cell>
        </row>
        <row r="214">
          <cell r="BN214">
            <v>41423</v>
          </cell>
          <cell r="BP214">
            <v>0</v>
          </cell>
        </row>
        <row r="215">
          <cell r="BN215">
            <v>41424</v>
          </cell>
          <cell r="BP215">
            <v>0</v>
          </cell>
        </row>
        <row r="216">
          <cell r="BN216">
            <v>41425</v>
          </cell>
          <cell r="BP216">
            <v>0</v>
          </cell>
        </row>
        <row r="217">
          <cell r="BN217">
            <v>41426</v>
          </cell>
          <cell r="BP217">
            <v>0</v>
          </cell>
        </row>
        <row r="218">
          <cell r="BN218">
            <v>41427</v>
          </cell>
          <cell r="BP218">
            <v>0</v>
          </cell>
        </row>
        <row r="219">
          <cell r="BN219">
            <v>41428</v>
          </cell>
          <cell r="BP219">
            <v>0</v>
          </cell>
        </row>
        <row r="220">
          <cell r="BN220">
            <v>41429</v>
          </cell>
          <cell r="BP220">
            <v>0</v>
          </cell>
        </row>
        <row r="221">
          <cell r="BN221">
            <v>41430</v>
          </cell>
          <cell r="BP221">
            <v>0</v>
          </cell>
        </row>
        <row r="222">
          <cell r="BN222">
            <v>41431</v>
          </cell>
          <cell r="BP222">
            <v>0</v>
          </cell>
        </row>
        <row r="223">
          <cell r="BN223">
            <v>41432</v>
          </cell>
          <cell r="BP223">
            <v>0</v>
          </cell>
        </row>
        <row r="224">
          <cell r="BN224">
            <v>41433</v>
          </cell>
          <cell r="BP224">
            <v>0</v>
          </cell>
        </row>
        <row r="225">
          <cell r="BN225">
            <v>41434</v>
          </cell>
          <cell r="BP225">
            <v>0</v>
          </cell>
        </row>
        <row r="226">
          <cell r="BN226">
            <v>41435</v>
          </cell>
          <cell r="BP226">
            <v>0</v>
          </cell>
        </row>
        <row r="227">
          <cell r="BN227">
            <v>41436</v>
          </cell>
          <cell r="BP227">
            <v>0</v>
          </cell>
        </row>
        <row r="228">
          <cell r="BN228">
            <v>41437</v>
          </cell>
          <cell r="BP228">
            <v>0</v>
          </cell>
        </row>
        <row r="229">
          <cell r="BN229">
            <v>41438</v>
          </cell>
          <cell r="BP229">
            <v>0</v>
          </cell>
        </row>
        <row r="230">
          <cell r="BN230">
            <v>41439</v>
          </cell>
          <cell r="BP230">
            <v>0</v>
          </cell>
        </row>
        <row r="231">
          <cell r="BN231">
            <v>41440</v>
          </cell>
          <cell r="BP231">
            <v>0</v>
          </cell>
        </row>
        <row r="232">
          <cell r="BN232">
            <v>41441</v>
          </cell>
          <cell r="BP232">
            <v>0</v>
          </cell>
        </row>
        <row r="233">
          <cell r="BN233">
            <v>41442</v>
          </cell>
          <cell r="BP233">
            <v>0</v>
          </cell>
        </row>
        <row r="234">
          <cell r="BN234">
            <v>41443</v>
          </cell>
          <cell r="BP234">
            <v>0</v>
          </cell>
        </row>
        <row r="235">
          <cell r="BN235">
            <v>41444</v>
          </cell>
          <cell r="BP235">
            <v>0</v>
          </cell>
        </row>
        <row r="236">
          <cell r="BN236">
            <v>41445</v>
          </cell>
          <cell r="BP236">
            <v>0</v>
          </cell>
        </row>
        <row r="237">
          <cell r="BN237">
            <v>41446</v>
          </cell>
          <cell r="BP237">
            <v>0</v>
          </cell>
        </row>
        <row r="238">
          <cell r="BN238">
            <v>41447</v>
          </cell>
          <cell r="BP238">
            <v>0</v>
          </cell>
        </row>
        <row r="239">
          <cell r="BN239">
            <v>41448</v>
          </cell>
          <cell r="BP239">
            <v>0</v>
          </cell>
        </row>
        <row r="240">
          <cell r="BN240">
            <v>41449</v>
          </cell>
          <cell r="BP240">
            <v>0</v>
          </cell>
        </row>
        <row r="241">
          <cell r="BN241">
            <v>41450</v>
          </cell>
          <cell r="BP241">
            <v>0</v>
          </cell>
        </row>
        <row r="242">
          <cell r="BN242">
            <v>41451</v>
          </cell>
          <cell r="BP242">
            <v>0</v>
          </cell>
        </row>
        <row r="243">
          <cell r="BN243">
            <v>41452</v>
          </cell>
          <cell r="BP243">
            <v>0</v>
          </cell>
        </row>
        <row r="244">
          <cell r="BN244">
            <v>41453</v>
          </cell>
          <cell r="BP244">
            <v>0</v>
          </cell>
        </row>
        <row r="245">
          <cell r="BN245">
            <v>41454</v>
          </cell>
          <cell r="BP245">
            <v>0</v>
          </cell>
        </row>
        <row r="246">
          <cell r="BN246">
            <v>41455</v>
          </cell>
          <cell r="BP246">
            <v>0</v>
          </cell>
        </row>
        <row r="247">
          <cell r="BN247">
            <v>41456</v>
          </cell>
          <cell r="BP247">
            <v>0</v>
          </cell>
        </row>
        <row r="248">
          <cell r="BN248">
            <v>41457</v>
          </cell>
          <cell r="BP248">
            <v>0</v>
          </cell>
        </row>
        <row r="249">
          <cell r="BN249">
            <v>41458</v>
          </cell>
          <cell r="BP249">
            <v>0</v>
          </cell>
        </row>
        <row r="250">
          <cell r="BN250">
            <v>41459</v>
          </cell>
          <cell r="BP250">
            <v>0</v>
          </cell>
        </row>
        <row r="251">
          <cell r="BN251">
            <v>41460</v>
          </cell>
          <cell r="BP251">
            <v>0</v>
          </cell>
        </row>
        <row r="252">
          <cell r="BN252">
            <v>41461</v>
          </cell>
          <cell r="BP252">
            <v>0</v>
          </cell>
        </row>
        <row r="253">
          <cell r="BN253">
            <v>41462</v>
          </cell>
          <cell r="BP253">
            <v>0</v>
          </cell>
        </row>
        <row r="254">
          <cell r="BN254">
            <v>41463</v>
          </cell>
          <cell r="BP254">
            <v>0</v>
          </cell>
        </row>
        <row r="255">
          <cell r="BN255">
            <v>41464</v>
          </cell>
          <cell r="BP255">
            <v>0</v>
          </cell>
        </row>
        <row r="256">
          <cell r="BN256">
            <v>41465</v>
          </cell>
          <cell r="BP256">
            <v>0</v>
          </cell>
        </row>
        <row r="257">
          <cell r="BN257">
            <v>41466</v>
          </cell>
          <cell r="BP257">
            <v>0</v>
          </cell>
        </row>
        <row r="258">
          <cell r="BN258">
            <v>41467</v>
          </cell>
          <cell r="BP258">
            <v>0</v>
          </cell>
        </row>
        <row r="259">
          <cell r="BN259">
            <v>41468</v>
          </cell>
          <cell r="BP259">
            <v>0</v>
          </cell>
        </row>
        <row r="260">
          <cell r="BN260">
            <v>41469</v>
          </cell>
          <cell r="BP260">
            <v>0</v>
          </cell>
        </row>
        <row r="261">
          <cell r="BN261">
            <v>41470</v>
          </cell>
          <cell r="BP261">
            <v>0</v>
          </cell>
        </row>
        <row r="262">
          <cell r="BN262">
            <v>41471</v>
          </cell>
          <cell r="BP262">
            <v>0</v>
          </cell>
        </row>
        <row r="263">
          <cell r="BN263">
            <v>41472</v>
          </cell>
          <cell r="BP263">
            <v>0</v>
          </cell>
        </row>
        <row r="264">
          <cell r="BN264">
            <v>41473</v>
          </cell>
          <cell r="BP264">
            <v>0</v>
          </cell>
        </row>
        <row r="265">
          <cell r="BN265">
            <v>41474</v>
          </cell>
          <cell r="BP265">
            <v>0</v>
          </cell>
        </row>
        <row r="266">
          <cell r="BN266">
            <v>41475</v>
          </cell>
          <cell r="BP266">
            <v>0</v>
          </cell>
        </row>
        <row r="267">
          <cell r="BN267">
            <v>41476</v>
          </cell>
          <cell r="BP267">
            <v>0</v>
          </cell>
        </row>
        <row r="268">
          <cell r="BN268">
            <v>41477</v>
          </cell>
          <cell r="BP268">
            <v>0</v>
          </cell>
        </row>
        <row r="269">
          <cell r="BN269">
            <v>41478</v>
          </cell>
          <cell r="BP269">
            <v>0</v>
          </cell>
        </row>
        <row r="270">
          <cell r="BN270">
            <v>41479</v>
          </cell>
          <cell r="BP270">
            <v>0</v>
          </cell>
        </row>
        <row r="271">
          <cell r="BN271">
            <v>41480</v>
          </cell>
          <cell r="BP271">
            <v>0</v>
          </cell>
        </row>
        <row r="272">
          <cell r="BN272">
            <v>41481</v>
          </cell>
          <cell r="BP272">
            <v>0</v>
          </cell>
        </row>
        <row r="273">
          <cell r="BN273">
            <v>41482</v>
          </cell>
          <cell r="BP273">
            <v>0</v>
          </cell>
        </row>
        <row r="274">
          <cell r="BN274">
            <v>41483</v>
          </cell>
          <cell r="BP274">
            <v>0</v>
          </cell>
        </row>
        <row r="275">
          <cell r="BN275">
            <v>41484</v>
          </cell>
          <cell r="BP275">
            <v>0</v>
          </cell>
        </row>
        <row r="276">
          <cell r="BN276">
            <v>41485</v>
          </cell>
          <cell r="BP276">
            <v>0</v>
          </cell>
        </row>
        <row r="277">
          <cell r="BN277">
            <v>41486</v>
          </cell>
          <cell r="BP277">
            <v>0</v>
          </cell>
        </row>
        <row r="278">
          <cell r="BN278">
            <v>41487</v>
          </cell>
          <cell r="BP278">
            <v>0</v>
          </cell>
        </row>
        <row r="279">
          <cell r="BN279">
            <v>41488</v>
          </cell>
          <cell r="BP279">
            <v>0</v>
          </cell>
        </row>
        <row r="280">
          <cell r="BN280">
            <v>41489</v>
          </cell>
          <cell r="BP280">
            <v>0</v>
          </cell>
        </row>
        <row r="281">
          <cell r="BN281">
            <v>41490</v>
          </cell>
          <cell r="BP281">
            <v>0</v>
          </cell>
        </row>
        <row r="282">
          <cell r="BN282">
            <v>41491</v>
          </cell>
          <cell r="BP282">
            <v>0</v>
          </cell>
        </row>
        <row r="283">
          <cell r="BN283">
            <v>41492</v>
          </cell>
          <cell r="BP283">
            <v>0</v>
          </cell>
        </row>
        <row r="284">
          <cell r="BN284">
            <v>41493</v>
          </cell>
          <cell r="BP284">
            <v>0</v>
          </cell>
        </row>
        <row r="285">
          <cell r="BN285">
            <v>41494</v>
          </cell>
          <cell r="BP285">
            <v>0</v>
          </cell>
        </row>
        <row r="286">
          <cell r="BN286">
            <v>41495</v>
          </cell>
          <cell r="BP286">
            <v>0</v>
          </cell>
        </row>
        <row r="287">
          <cell r="BN287">
            <v>41496</v>
          </cell>
          <cell r="BP287">
            <v>0</v>
          </cell>
        </row>
        <row r="288">
          <cell r="BN288">
            <v>41497</v>
          </cell>
          <cell r="BP288">
            <v>0</v>
          </cell>
        </row>
        <row r="289">
          <cell r="BN289">
            <v>41498</v>
          </cell>
          <cell r="BP289">
            <v>0</v>
          </cell>
        </row>
        <row r="290">
          <cell r="BN290">
            <v>41499</v>
          </cell>
          <cell r="BP290">
            <v>0</v>
          </cell>
        </row>
        <row r="291">
          <cell r="BN291">
            <v>41500</v>
          </cell>
          <cell r="BP291">
            <v>0</v>
          </cell>
        </row>
        <row r="292">
          <cell r="BN292">
            <v>41501</v>
          </cell>
          <cell r="BP292">
            <v>0</v>
          </cell>
        </row>
        <row r="293">
          <cell r="BN293">
            <v>41502</v>
          </cell>
          <cell r="BP293">
            <v>0</v>
          </cell>
        </row>
        <row r="294">
          <cell r="BN294">
            <v>41503</v>
          </cell>
          <cell r="BP294">
            <v>0</v>
          </cell>
        </row>
        <row r="295">
          <cell r="BN295">
            <v>41504</v>
          </cell>
          <cell r="BP295">
            <v>0</v>
          </cell>
        </row>
        <row r="296">
          <cell r="BN296">
            <v>41505</v>
          </cell>
          <cell r="BP296">
            <v>0</v>
          </cell>
        </row>
        <row r="297">
          <cell r="BN297">
            <v>41506</v>
          </cell>
          <cell r="BP297">
            <v>0</v>
          </cell>
        </row>
        <row r="298">
          <cell r="BN298">
            <v>41507</v>
          </cell>
          <cell r="BP298">
            <v>0</v>
          </cell>
        </row>
        <row r="299">
          <cell r="BN299">
            <v>41508</v>
          </cell>
          <cell r="BP299">
            <v>0</v>
          </cell>
        </row>
        <row r="300">
          <cell r="BN300">
            <v>41509</v>
          </cell>
          <cell r="BP300">
            <v>0</v>
          </cell>
        </row>
        <row r="301">
          <cell r="BN301">
            <v>41510</v>
          </cell>
          <cell r="BP301">
            <v>0</v>
          </cell>
        </row>
        <row r="302">
          <cell r="BN302">
            <v>41511</v>
          </cell>
          <cell r="BP302">
            <v>0</v>
          </cell>
        </row>
        <row r="303">
          <cell r="BN303">
            <v>41512</v>
          </cell>
          <cell r="BP303">
            <v>0</v>
          </cell>
        </row>
        <row r="304">
          <cell r="BN304">
            <v>41513</v>
          </cell>
          <cell r="BP304">
            <v>0</v>
          </cell>
        </row>
        <row r="305">
          <cell r="BN305">
            <v>41514</v>
          </cell>
          <cell r="BP305">
            <v>0</v>
          </cell>
        </row>
        <row r="306">
          <cell r="BN306">
            <v>41515</v>
          </cell>
          <cell r="BP306">
            <v>0</v>
          </cell>
        </row>
        <row r="307">
          <cell r="BN307">
            <v>41516</v>
          </cell>
          <cell r="BP307">
            <v>0</v>
          </cell>
        </row>
        <row r="308">
          <cell r="BN308">
            <v>41517</v>
          </cell>
          <cell r="BP308">
            <v>0</v>
          </cell>
        </row>
        <row r="309">
          <cell r="BN309">
            <v>41518</v>
          </cell>
          <cell r="BP309">
            <v>0</v>
          </cell>
        </row>
        <row r="310">
          <cell r="BN310">
            <v>41519</v>
          </cell>
          <cell r="BP310">
            <v>0</v>
          </cell>
        </row>
        <row r="311">
          <cell r="BN311">
            <v>41520</v>
          </cell>
          <cell r="BP311">
            <v>0</v>
          </cell>
        </row>
        <row r="312">
          <cell r="BN312">
            <v>41521</v>
          </cell>
          <cell r="BP312">
            <v>0</v>
          </cell>
        </row>
        <row r="313">
          <cell r="BN313">
            <v>41522</v>
          </cell>
          <cell r="BP313">
            <v>0</v>
          </cell>
        </row>
        <row r="314">
          <cell r="BN314">
            <v>41523</v>
          </cell>
          <cell r="BP314">
            <v>0</v>
          </cell>
        </row>
        <row r="315">
          <cell r="BN315">
            <v>41524</v>
          </cell>
          <cell r="BP315">
            <v>0</v>
          </cell>
        </row>
        <row r="316">
          <cell r="BN316">
            <v>41525</v>
          </cell>
          <cell r="BP316">
            <v>0</v>
          </cell>
        </row>
        <row r="317">
          <cell r="BN317">
            <v>41526</v>
          </cell>
          <cell r="BP317">
            <v>0</v>
          </cell>
        </row>
        <row r="318">
          <cell r="BN318">
            <v>41527</v>
          </cell>
          <cell r="BP318">
            <v>0</v>
          </cell>
        </row>
        <row r="319">
          <cell r="BN319">
            <v>41528</v>
          </cell>
          <cell r="BP319">
            <v>0</v>
          </cell>
        </row>
        <row r="320">
          <cell r="BN320">
            <v>41529</v>
          </cell>
          <cell r="BP320">
            <v>0</v>
          </cell>
        </row>
        <row r="321">
          <cell r="BN321">
            <v>41530</v>
          </cell>
          <cell r="BP321">
            <v>0</v>
          </cell>
        </row>
        <row r="322">
          <cell r="BN322">
            <v>41531</v>
          </cell>
          <cell r="BP322">
            <v>0</v>
          </cell>
        </row>
        <row r="323">
          <cell r="BN323">
            <v>41532</v>
          </cell>
          <cell r="BP323">
            <v>0</v>
          </cell>
        </row>
        <row r="324">
          <cell r="BN324">
            <v>41533</v>
          </cell>
          <cell r="BP324">
            <v>0</v>
          </cell>
        </row>
        <row r="325">
          <cell r="BN325">
            <v>41534</v>
          </cell>
          <cell r="BP325">
            <v>0</v>
          </cell>
        </row>
        <row r="326">
          <cell r="BN326">
            <v>41535</v>
          </cell>
          <cell r="BP326">
            <v>0</v>
          </cell>
        </row>
        <row r="327">
          <cell r="BN327">
            <v>41536</v>
          </cell>
          <cell r="BP327">
            <v>0</v>
          </cell>
        </row>
        <row r="328">
          <cell r="BN328">
            <v>41537</v>
          </cell>
          <cell r="BP328">
            <v>0</v>
          </cell>
        </row>
        <row r="329">
          <cell r="BN329">
            <v>41538</v>
          </cell>
          <cell r="BP329">
            <v>0</v>
          </cell>
        </row>
        <row r="330">
          <cell r="BN330">
            <v>41539</v>
          </cell>
          <cell r="BP330">
            <v>0</v>
          </cell>
        </row>
        <row r="331">
          <cell r="BN331">
            <v>41540</v>
          </cell>
          <cell r="BP331">
            <v>0</v>
          </cell>
        </row>
        <row r="332">
          <cell r="BN332">
            <v>41541</v>
          </cell>
          <cell r="BP332">
            <v>0</v>
          </cell>
        </row>
        <row r="333">
          <cell r="BN333">
            <v>41542</v>
          </cell>
          <cell r="BP333">
            <v>0</v>
          </cell>
        </row>
        <row r="334">
          <cell r="BN334">
            <v>41543</v>
          </cell>
          <cell r="BP334">
            <v>0</v>
          </cell>
        </row>
        <row r="335">
          <cell r="BN335">
            <v>41544</v>
          </cell>
          <cell r="BP335">
            <v>0</v>
          </cell>
        </row>
        <row r="336">
          <cell r="BN336">
            <v>41545</v>
          </cell>
          <cell r="BP336">
            <v>0</v>
          </cell>
        </row>
        <row r="337">
          <cell r="BN337">
            <v>41546</v>
          </cell>
          <cell r="BP337">
            <v>0</v>
          </cell>
        </row>
        <row r="338">
          <cell r="BN338">
            <v>41547</v>
          </cell>
          <cell r="BP338">
            <v>0</v>
          </cell>
        </row>
        <row r="339">
          <cell r="BN339">
            <v>41548</v>
          </cell>
          <cell r="BP339">
            <v>0</v>
          </cell>
        </row>
        <row r="340">
          <cell r="BN340">
            <v>41549</v>
          </cell>
          <cell r="BP340">
            <v>0</v>
          </cell>
        </row>
        <row r="341">
          <cell r="BN341">
            <v>41550</v>
          </cell>
          <cell r="BP341">
            <v>0</v>
          </cell>
        </row>
        <row r="342">
          <cell r="BN342">
            <v>41551</v>
          </cell>
          <cell r="BP342">
            <v>0</v>
          </cell>
        </row>
        <row r="343">
          <cell r="BN343">
            <v>41552</v>
          </cell>
          <cell r="BP343">
            <v>0</v>
          </cell>
        </row>
        <row r="344">
          <cell r="BN344">
            <v>41553</v>
          </cell>
          <cell r="BP344">
            <v>0</v>
          </cell>
        </row>
        <row r="345">
          <cell r="BN345">
            <v>41554</v>
          </cell>
          <cell r="BP345">
            <v>0</v>
          </cell>
        </row>
        <row r="346">
          <cell r="BN346">
            <v>41555</v>
          </cell>
          <cell r="BP346">
            <v>0</v>
          </cell>
        </row>
        <row r="347">
          <cell r="BN347">
            <v>41556</v>
          </cell>
          <cell r="BP347">
            <v>0</v>
          </cell>
        </row>
        <row r="348">
          <cell r="BN348">
            <v>41557</v>
          </cell>
          <cell r="BP348">
            <v>0</v>
          </cell>
        </row>
        <row r="349">
          <cell r="BN349">
            <v>41558</v>
          </cell>
          <cell r="BP349">
            <v>0</v>
          </cell>
        </row>
        <row r="350">
          <cell r="BN350">
            <v>41559</v>
          </cell>
          <cell r="BP350">
            <v>0</v>
          </cell>
        </row>
        <row r="351">
          <cell r="BN351">
            <v>41560</v>
          </cell>
          <cell r="BP351">
            <v>0</v>
          </cell>
        </row>
        <row r="352">
          <cell r="BN352">
            <v>41561</v>
          </cell>
          <cell r="BP352">
            <v>0</v>
          </cell>
        </row>
        <row r="353">
          <cell r="BN353">
            <v>41562</v>
          </cell>
          <cell r="BP353">
            <v>0</v>
          </cell>
        </row>
        <row r="354">
          <cell r="BN354">
            <v>41563</v>
          </cell>
          <cell r="BP354">
            <v>0</v>
          </cell>
        </row>
        <row r="355">
          <cell r="BN355">
            <v>41564</v>
          </cell>
          <cell r="BP355">
            <v>0</v>
          </cell>
        </row>
        <row r="356">
          <cell r="BN356">
            <v>41565</v>
          </cell>
          <cell r="BP356">
            <v>0</v>
          </cell>
        </row>
        <row r="357">
          <cell r="BN357">
            <v>41566</v>
          </cell>
          <cell r="BP357">
            <v>0</v>
          </cell>
        </row>
        <row r="358">
          <cell r="BN358">
            <v>41567</v>
          </cell>
          <cell r="BP358">
            <v>0</v>
          </cell>
        </row>
        <row r="359">
          <cell r="BN359">
            <v>41568</v>
          </cell>
          <cell r="BP359">
            <v>0</v>
          </cell>
        </row>
        <row r="360">
          <cell r="BN360">
            <v>41569</v>
          </cell>
          <cell r="BP360">
            <v>0</v>
          </cell>
        </row>
        <row r="361">
          <cell r="BN361">
            <v>41570</v>
          </cell>
          <cell r="BP361">
            <v>0</v>
          </cell>
        </row>
        <row r="362">
          <cell r="BN362">
            <v>41571</v>
          </cell>
          <cell r="BP362">
            <v>0</v>
          </cell>
        </row>
        <row r="363">
          <cell r="BN363">
            <v>41572</v>
          </cell>
          <cell r="BP363">
            <v>0</v>
          </cell>
        </row>
        <row r="364">
          <cell r="BN364">
            <v>41573</v>
          </cell>
          <cell r="BP364">
            <v>0</v>
          </cell>
        </row>
        <row r="365">
          <cell r="BN365">
            <v>41574</v>
          </cell>
          <cell r="BP365">
            <v>0</v>
          </cell>
        </row>
        <row r="366">
          <cell r="BN366">
            <v>41575</v>
          </cell>
          <cell r="BP366">
            <v>0</v>
          </cell>
        </row>
        <row r="367">
          <cell r="BN367">
            <v>41576</v>
          </cell>
          <cell r="BP367">
            <v>0</v>
          </cell>
        </row>
        <row r="368">
          <cell r="BN368">
            <v>41577</v>
          </cell>
          <cell r="BP368">
            <v>0</v>
          </cell>
        </row>
        <row r="369">
          <cell r="BN369">
            <v>41578</v>
          </cell>
          <cell r="BP369">
            <v>0</v>
          </cell>
        </row>
        <row r="370">
          <cell r="BN370">
            <v>41579</v>
          </cell>
          <cell r="BP370">
            <v>0</v>
          </cell>
        </row>
        <row r="371">
          <cell r="BN371">
            <v>41580</v>
          </cell>
          <cell r="BP371">
            <v>0</v>
          </cell>
        </row>
        <row r="372">
          <cell r="BN372">
            <v>41581</v>
          </cell>
          <cell r="BP372">
            <v>0</v>
          </cell>
        </row>
        <row r="373">
          <cell r="BN373">
            <v>41582</v>
          </cell>
          <cell r="BP373">
            <v>0</v>
          </cell>
        </row>
        <row r="374">
          <cell r="BN374">
            <v>41583</v>
          </cell>
          <cell r="BP374">
            <v>0</v>
          </cell>
        </row>
        <row r="375">
          <cell r="BN375">
            <v>41584</v>
          </cell>
          <cell r="BP375">
            <v>0</v>
          </cell>
        </row>
        <row r="376">
          <cell r="BN376">
            <v>41585</v>
          </cell>
          <cell r="BP376">
            <v>0</v>
          </cell>
        </row>
        <row r="377">
          <cell r="BN377">
            <v>41586</v>
          </cell>
          <cell r="BP377">
            <v>0</v>
          </cell>
        </row>
        <row r="378">
          <cell r="BN378">
            <v>41587</v>
          </cell>
          <cell r="BP378">
            <v>0</v>
          </cell>
        </row>
        <row r="379">
          <cell r="BN379">
            <v>41588</v>
          </cell>
          <cell r="BP379">
            <v>0</v>
          </cell>
        </row>
        <row r="380">
          <cell r="BN380">
            <v>41589</v>
          </cell>
          <cell r="BP380">
            <v>0</v>
          </cell>
        </row>
        <row r="381">
          <cell r="BN381">
            <v>41590</v>
          </cell>
          <cell r="BP381">
            <v>0</v>
          </cell>
        </row>
        <row r="382">
          <cell r="BN382">
            <v>41591</v>
          </cell>
          <cell r="BP382">
            <v>0</v>
          </cell>
        </row>
        <row r="383">
          <cell r="BN383">
            <v>41592</v>
          </cell>
          <cell r="BP383">
            <v>0</v>
          </cell>
        </row>
        <row r="384">
          <cell r="BN384">
            <v>41593</v>
          </cell>
          <cell r="BP384">
            <v>0</v>
          </cell>
        </row>
        <row r="385">
          <cell r="BN385">
            <v>41594</v>
          </cell>
          <cell r="BP385">
            <v>0</v>
          </cell>
        </row>
        <row r="386">
          <cell r="BN386">
            <v>41595</v>
          </cell>
          <cell r="BP386">
            <v>0</v>
          </cell>
        </row>
        <row r="387">
          <cell r="BN387">
            <v>41596</v>
          </cell>
          <cell r="BP387">
            <v>0</v>
          </cell>
        </row>
        <row r="388">
          <cell r="BN388">
            <v>41597</v>
          </cell>
          <cell r="BP388">
            <v>0</v>
          </cell>
        </row>
        <row r="389">
          <cell r="BN389">
            <v>41598</v>
          </cell>
          <cell r="BP389">
            <v>0</v>
          </cell>
        </row>
        <row r="390">
          <cell r="BN390">
            <v>41599</v>
          </cell>
          <cell r="BP390">
            <v>0</v>
          </cell>
        </row>
        <row r="391">
          <cell r="BN391">
            <v>41600</v>
          </cell>
          <cell r="BP391">
            <v>0</v>
          </cell>
        </row>
        <row r="392">
          <cell r="BN392">
            <v>41601</v>
          </cell>
          <cell r="BP392">
            <v>0</v>
          </cell>
        </row>
        <row r="393">
          <cell r="BN393">
            <v>41602</v>
          </cell>
          <cell r="BP393">
            <v>0</v>
          </cell>
        </row>
        <row r="394">
          <cell r="BN394">
            <v>41603</v>
          </cell>
          <cell r="BP394">
            <v>0</v>
          </cell>
        </row>
        <row r="395">
          <cell r="BN395">
            <v>41604</v>
          </cell>
          <cell r="BP395">
            <v>0</v>
          </cell>
        </row>
        <row r="396">
          <cell r="BN396">
            <v>41605</v>
          </cell>
          <cell r="BP396">
            <v>0</v>
          </cell>
        </row>
        <row r="397">
          <cell r="BN397">
            <v>41606</v>
          </cell>
          <cell r="BP397">
            <v>0</v>
          </cell>
        </row>
        <row r="398">
          <cell r="BN398">
            <v>41607</v>
          </cell>
          <cell r="BP398">
            <v>0</v>
          </cell>
        </row>
        <row r="399">
          <cell r="BN399">
            <v>41608</v>
          </cell>
          <cell r="BP399">
            <v>0</v>
          </cell>
        </row>
        <row r="400">
          <cell r="BN400">
            <v>41609</v>
          </cell>
          <cell r="BP400">
            <v>0</v>
          </cell>
        </row>
        <row r="401">
          <cell r="BN401">
            <v>41610</v>
          </cell>
          <cell r="BP401">
            <v>0</v>
          </cell>
        </row>
        <row r="402">
          <cell r="BN402">
            <v>41611</v>
          </cell>
          <cell r="BP402">
            <v>0</v>
          </cell>
        </row>
        <row r="403">
          <cell r="BN403">
            <v>41612</v>
          </cell>
          <cell r="BP403">
            <v>0</v>
          </cell>
        </row>
        <row r="404">
          <cell r="BN404">
            <v>41613</v>
          </cell>
          <cell r="BP404">
            <v>0</v>
          </cell>
        </row>
        <row r="405">
          <cell r="BN405">
            <v>41614</v>
          </cell>
          <cell r="BP405">
            <v>0</v>
          </cell>
        </row>
        <row r="406">
          <cell r="BN406">
            <v>41615</v>
          </cell>
          <cell r="BP406">
            <v>0</v>
          </cell>
        </row>
        <row r="407">
          <cell r="BN407">
            <v>41616</v>
          </cell>
          <cell r="BP407">
            <v>0</v>
          </cell>
        </row>
        <row r="408">
          <cell r="BN408">
            <v>41617</v>
          </cell>
          <cell r="BP408">
            <v>0</v>
          </cell>
        </row>
        <row r="409">
          <cell r="BN409">
            <v>41618</v>
          </cell>
          <cell r="BP409">
            <v>0</v>
          </cell>
        </row>
        <row r="410">
          <cell r="BN410">
            <v>41619</v>
          </cell>
          <cell r="BP410">
            <v>0</v>
          </cell>
        </row>
        <row r="411">
          <cell r="BN411">
            <v>41620</v>
          </cell>
          <cell r="BP411">
            <v>0</v>
          </cell>
        </row>
        <row r="412">
          <cell r="BN412">
            <v>41621</v>
          </cell>
          <cell r="BP412">
            <v>0</v>
          </cell>
        </row>
        <row r="413">
          <cell r="BN413">
            <v>41622</v>
          </cell>
          <cell r="BP413">
            <v>0</v>
          </cell>
        </row>
        <row r="414">
          <cell r="BN414">
            <v>41623</v>
          </cell>
          <cell r="BP414">
            <v>0</v>
          </cell>
        </row>
        <row r="415">
          <cell r="BN415">
            <v>41624</v>
          </cell>
          <cell r="BP415">
            <v>0</v>
          </cell>
        </row>
        <row r="416">
          <cell r="BN416">
            <v>41625</v>
          </cell>
          <cell r="BP416">
            <v>0</v>
          </cell>
        </row>
        <row r="417">
          <cell r="BN417">
            <v>41626</v>
          </cell>
          <cell r="BP417">
            <v>0</v>
          </cell>
        </row>
        <row r="418">
          <cell r="BN418">
            <v>41627</v>
          </cell>
          <cell r="BP418">
            <v>0</v>
          </cell>
        </row>
        <row r="419">
          <cell r="BN419">
            <v>41628</v>
          </cell>
          <cell r="BP419">
            <v>0</v>
          </cell>
        </row>
        <row r="420">
          <cell r="BN420">
            <v>41629</v>
          </cell>
          <cell r="BP420">
            <v>0</v>
          </cell>
        </row>
        <row r="421">
          <cell r="BN421">
            <v>41630</v>
          </cell>
          <cell r="BP421">
            <v>0</v>
          </cell>
        </row>
        <row r="422">
          <cell r="BN422">
            <v>41631</v>
          </cell>
          <cell r="BP422">
            <v>0</v>
          </cell>
        </row>
        <row r="423">
          <cell r="BN423">
            <v>41632</v>
          </cell>
          <cell r="BP423">
            <v>0</v>
          </cell>
        </row>
        <row r="424">
          <cell r="BN424">
            <v>41633</v>
          </cell>
          <cell r="BP424">
            <v>0</v>
          </cell>
        </row>
        <row r="425">
          <cell r="BN425">
            <v>41634</v>
          </cell>
          <cell r="BP425">
            <v>0</v>
          </cell>
        </row>
        <row r="426">
          <cell r="BN426">
            <v>41635</v>
          </cell>
          <cell r="BP426">
            <v>0</v>
          </cell>
        </row>
        <row r="427">
          <cell r="BN427">
            <v>41636</v>
          </cell>
          <cell r="BP427">
            <v>0</v>
          </cell>
        </row>
        <row r="428">
          <cell r="BN428">
            <v>41637</v>
          </cell>
          <cell r="BP428">
            <v>0</v>
          </cell>
        </row>
        <row r="429">
          <cell r="BN429">
            <v>41638</v>
          </cell>
          <cell r="BP429">
            <v>0</v>
          </cell>
        </row>
        <row r="430">
          <cell r="BN430">
            <v>41639</v>
          </cell>
          <cell r="BP430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464.346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576.42600000000004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635.34799999999996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703.10299999999995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710.13199999999995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686.98599999999999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665.46900000000005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RARWNING"/>
      <sheetName val="GDIRMAN"/>
      <sheetName val="AREAL"/>
      <sheetName val="GRACABAN"/>
      <sheetName val="GRAHAYU"/>
      <sheetName val="GRASPOR"/>
      <sheetName val="GRAWDLTG"/>
      <sheetName val="GRAOMBO"/>
      <sheetName val="GJMUNGKUR"/>
      <sheetName val="OMBO REL"/>
      <sheetName val="UTAMA"/>
      <sheetName val="RINCI 1"/>
      <sheetName val="RINCI 2"/>
      <sheetName val="KDOM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I20">
            <v>655.58699999999999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3"/>
  <sheetViews>
    <sheetView topLeftCell="A4" workbookViewId="0">
      <selection activeCell="E7" sqref="E7"/>
    </sheetView>
  </sheetViews>
  <sheetFormatPr defaultRowHeight="12.75"/>
  <cols>
    <col min="1" max="1" width="2.7109375" customWidth="1"/>
    <col min="2" max="2" width="12.85546875" customWidth="1"/>
    <col min="3" max="3" width="14.5703125" customWidth="1"/>
    <col min="4" max="4" width="15.5703125" customWidth="1"/>
    <col min="5" max="5" width="16.42578125" customWidth="1"/>
    <col min="6" max="6" width="15.85546875" customWidth="1"/>
    <col min="7" max="7" width="13.85546875" customWidth="1"/>
    <col min="8" max="8" width="14.5703125" customWidth="1"/>
    <col min="11" max="11" width="13.85546875" customWidth="1"/>
    <col min="12" max="12" width="14.28515625" customWidth="1"/>
    <col min="13" max="13" width="13.5703125" customWidth="1"/>
    <col min="14" max="14" width="15.85546875" customWidth="1"/>
    <col min="15" max="15" width="14.85546875" customWidth="1"/>
    <col min="16" max="16" width="14" customWidth="1"/>
  </cols>
  <sheetData>
    <row r="2" spans="2:16" ht="19.5">
      <c r="B2" s="223" t="s">
        <v>163</v>
      </c>
      <c r="C2" s="223"/>
      <c r="D2" s="223"/>
      <c r="E2" s="223"/>
      <c r="F2" s="223"/>
      <c r="G2" s="223"/>
      <c r="K2" s="223"/>
      <c r="L2" s="223"/>
      <c r="M2" s="223"/>
      <c r="N2" s="223"/>
      <c r="O2" s="223"/>
      <c r="P2" s="223"/>
    </row>
    <row r="3" spans="2:16" ht="13.5" thickBot="1"/>
    <row r="4" spans="2:16" ht="27" customHeight="1" thickBot="1">
      <c r="B4" s="104" t="s">
        <v>1</v>
      </c>
      <c r="C4" s="103">
        <v>2009</v>
      </c>
      <c r="D4" s="324">
        <v>2010</v>
      </c>
      <c r="E4" s="325">
        <v>2011</v>
      </c>
      <c r="F4" s="326">
        <v>2012</v>
      </c>
      <c r="G4" s="326">
        <v>2013</v>
      </c>
      <c r="K4" s="181"/>
      <c r="L4" s="182"/>
      <c r="M4" s="182"/>
      <c r="N4" s="182"/>
      <c r="O4" s="182"/>
      <c r="P4" s="182"/>
    </row>
    <row r="5" spans="2:16" ht="21" customHeight="1">
      <c r="B5" s="105" t="s">
        <v>2</v>
      </c>
      <c r="C5" s="323">
        <v>874.06</v>
      </c>
      <c r="D5" s="332">
        <v>710.58600000000001</v>
      </c>
      <c r="E5" s="323">
        <v>1531</v>
      </c>
      <c r="F5" s="328">
        <v>1393</v>
      </c>
      <c r="G5" s="329">
        <v>1176</v>
      </c>
      <c r="K5" s="183"/>
      <c r="L5" s="184"/>
      <c r="M5" s="184"/>
      <c r="N5" s="184"/>
      <c r="O5" s="184"/>
      <c r="P5" s="184"/>
    </row>
    <row r="6" spans="2:16" ht="21" customHeight="1">
      <c r="B6" s="106" t="s">
        <v>3</v>
      </c>
      <c r="C6" s="322">
        <v>1257.5</v>
      </c>
      <c r="D6" s="330">
        <v>1110.18</v>
      </c>
      <c r="E6" s="322">
        <v>1583</v>
      </c>
      <c r="F6" s="329">
        <v>1578</v>
      </c>
      <c r="G6" s="329">
        <v>1374</v>
      </c>
      <c r="K6" s="183"/>
      <c r="L6" s="184"/>
      <c r="M6" s="184"/>
      <c r="N6" s="184"/>
      <c r="O6" s="184"/>
      <c r="P6" s="184"/>
    </row>
    <row r="7" spans="2:16" ht="21" customHeight="1">
      <c r="B7" s="106" t="s">
        <v>4</v>
      </c>
      <c r="C7" s="322">
        <v>1483.8</v>
      </c>
      <c r="D7" s="333">
        <v>1422.3</v>
      </c>
      <c r="E7" s="322">
        <v>1640</v>
      </c>
      <c r="F7" s="329">
        <v>1668</v>
      </c>
      <c r="G7" s="329">
        <v>1546</v>
      </c>
      <c r="K7" s="183"/>
      <c r="L7" s="184"/>
      <c r="M7" s="184"/>
      <c r="N7" s="184"/>
      <c r="O7" s="184"/>
      <c r="P7" s="184"/>
    </row>
    <row r="8" spans="2:16" ht="21" customHeight="1">
      <c r="B8" s="106" t="s">
        <v>5</v>
      </c>
      <c r="C8" s="322">
        <v>1508</v>
      </c>
      <c r="D8" s="334">
        <v>1646</v>
      </c>
      <c r="E8" s="322">
        <v>1720</v>
      </c>
      <c r="F8" s="329">
        <v>1674</v>
      </c>
      <c r="G8" s="603">
        <v>1745.5619999999999</v>
      </c>
      <c r="K8" s="183"/>
      <c r="L8" s="184"/>
      <c r="M8" s="184"/>
      <c r="N8" s="186"/>
      <c r="O8" s="184"/>
      <c r="P8" s="184"/>
    </row>
    <row r="9" spans="2:16" ht="21" customHeight="1">
      <c r="B9" s="106" t="s">
        <v>6</v>
      </c>
      <c r="C9" s="322">
        <v>1494.75</v>
      </c>
      <c r="D9" s="329">
        <v>1754.55</v>
      </c>
      <c r="E9" s="322">
        <v>1735</v>
      </c>
      <c r="F9" s="329">
        <v>1596</v>
      </c>
      <c r="G9" s="329">
        <v>1682.5940000000001</v>
      </c>
      <c r="K9" s="183"/>
      <c r="L9" s="184"/>
      <c r="M9" s="184"/>
      <c r="N9" s="184"/>
      <c r="O9" s="184"/>
      <c r="P9" s="184"/>
    </row>
    <row r="10" spans="2:16" ht="21" customHeight="1">
      <c r="B10" s="106" t="s">
        <v>7</v>
      </c>
      <c r="C10" s="322">
        <v>1450.2</v>
      </c>
      <c r="D10" s="559">
        <v>1721.75</v>
      </c>
      <c r="E10" s="322">
        <v>1568</v>
      </c>
      <c r="F10" s="329">
        <v>1414</v>
      </c>
      <c r="G10" s="604">
        <v>1721.8942</v>
      </c>
      <c r="K10" s="183"/>
      <c r="L10" s="184"/>
      <c r="M10" s="184"/>
      <c r="N10" s="184"/>
      <c r="O10" s="184"/>
      <c r="P10" s="184"/>
    </row>
    <row r="11" spans="2:16" ht="21" customHeight="1">
      <c r="B11" s="106" t="s">
        <v>8</v>
      </c>
      <c r="C11" s="322">
        <v>1275.6500000000001</v>
      </c>
      <c r="D11" s="330">
        <v>1646.76</v>
      </c>
      <c r="E11" s="322">
        <v>1447</v>
      </c>
      <c r="F11" s="329">
        <v>1218</v>
      </c>
      <c r="G11" s="329">
        <v>1593.0050000000001</v>
      </c>
      <c r="K11" s="183"/>
      <c r="L11" s="184"/>
      <c r="M11" s="184"/>
      <c r="N11" s="184"/>
      <c r="O11" s="184"/>
      <c r="P11" s="184"/>
    </row>
    <row r="12" spans="2:16" ht="21" customHeight="1">
      <c r="B12" s="106" t="s">
        <v>9</v>
      </c>
      <c r="C12" s="322">
        <v>1381.75</v>
      </c>
      <c r="D12" s="330">
        <v>1558.65</v>
      </c>
      <c r="E12" s="322">
        <v>1340</v>
      </c>
      <c r="F12" s="329">
        <v>1084</v>
      </c>
      <c r="G12" s="329">
        <v>1388.973</v>
      </c>
      <c r="K12" s="183"/>
      <c r="L12" s="184"/>
      <c r="M12" s="184"/>
      <c r="N12" s="184"/>
      <c r="O12" s="184"/>
      <c r="P12" s="184"/>
    </row>
    <row r="13" spans="2:16" ht="21" customHeight="1">
      <c r="B13" s="106" t="s">
        <v>10</v>
      </c>
      <c r="C13" s="322">
        <v>960.17499999999995</v>
      </c>
      <c r="D13" s="330">
        <v>1527.3</v>
      </c>
      <c r="E13" s="322">
        <v>1189</v>
      </c>
      <c r="F13" s="329">
        <v>980</v>
      </c>
      <c r="G13" s="329">
        <v>1087.125</v>
      </c>
      <c r="K13" s="183"/>
      <c r="L13" s="184"/>
      <c r="M13" s="184"/>
      <c r="N13" s="184"/>
      <c r="O13" s="184"/>
      <c r="P13" s="184"/>
    </row>
    <row r="14" spans="2:16" ht="21" customHeight="1">
      <c r="B14" s="106" t="s">
        <v>11</v>
      </c>
      <c r="C14" s="322">
        <v>849</v>
      </c>
      <c r="D14" s="330">
        <v>1445.35</v>
      </c>
      <c r="E14" s="322">
        <v>958</v>
      </c>
      <c r="F14" s="329">
        <v>810</v>
      </c>
      <c r="G14" s="329">
        <v>874.971</v>
      </c>
      <c r="K14" s="183"/>
      <c r="L14" s="184"/>
      <c r="M14" s="184"/>
      <c r="N14" s="184"/>
      <c r="O14" s="184"/>
      <c r="P14" s="184"/>
    </row>
    <row r="15" spans="2:16" ht="21" customHeight="1">
      <c r="B15" s="106" t="s">
        <v>12</v>
      </c>
      <c r="C15" s="322">
        <v>826.5</v>
      </c>
      <c r="D15" s="330">
        <v>1466.559</v>
      </c>
      <c r="E15" s="322">
        <v>991</v>
      </c>
      <c r="F15" s="329">
        <v>650</v>
      </c>
      <c r="G15" s="329">
        <v>793.18100000000004</v>
      </c>
      <c r="K15" s="183"/>
      <c r="L15" s="184"/>
      <c r="M15" s="184"/>
      <c r="N15" s="184"/>
      <c r="O15" s="184"/>
      <c r="P15" s="184"/>
    </row>
    <row r="16" spans="2:16" ht="21" customHeight="1" thickBot="1">
      <c r="B16" s="107" t="s">
        <v>13</v>
      </c>
      <c r="C16" s="327">
        <v>576.75</v>
      </c>
      <c r="D16" s="331">
        <v>1599.3</v>
      </c>
      <c r="E16" s="327">
        <v>1047</v>
      </c>
      <c r="F16" s="329">
        <v>792</v>
      </c>
      <c r="G16" s="329">
        <f>UTAMA!I50</f>
        <v>1027.2876000000001</v>
      </c>
      <c r="K16" s="183"/>
      <c r="L16" s="185"/>
      <c r="M16" s="185"/>
      <c r="N16" s="185"/>
      <c r="O16" s="185"/>
      <c r="P16" s="185"/>
    </row>
    <row r="36" spans="1:11">
      <c r="A36" s="77"/>
    </row>
    <row r="47" spans="1:11">
      <c r="B47" s="78"/>
      <c r="K47" s="78"/>
    </row>
    <row r="49" spans="2:11">
      <c r="B49" s="78"/>
      <c r="K49" s="78"/>
    </row>
    <row r="50" spans="2:11">
      <c r="C50" s="79"/>
      <c r="K50" s="12"/>
    </row>
    <row r="52" spans="2:11">
      <c r="B52" s="79" t="s">
        <v>14</v>
      </c>
    </row>
    <row r="53" spans="2:11">
      <c r="B53" s="79"/>
    </row>
  </sheetData>
  <pageMargins left="1.2204724409448819" right="0.39370078740157483" top="0.6692913385826772" bottom="0.59055118110236227" header="0.51181102362204722" footer="0.51181102362204722"/>
  <pageSetup scale="85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P53"/>
  <sheetViews>
    <sheetView topLeftCell="A7" workbookViewId="0">
      <selection activeCell="G15" sqref="G15"/>
    </sheetView>
  </sheetViews>
  <sheetFormatPr defaultRowHeight="12.75"/>
  <cols>
    <col min="1" max="1" width="2.7109375" customWidth="1"/>
    <col min="2" max="2" width="12.85546875" customWidth="1"/>
    <col min="3" max="3" width="14.5703125" customWidth="1"/>
    <col min="4" max="4" width="15.5703125" customWidth="1"/>
    <col min="5" max="5" width="16.42578125" customWidth="1"/>
    <col min="6" max="6" width="15.85546875" customWidth="1"/>
    <col min="7" max="7" width="13.85546875" customWidth="1"/>
    <col min="8" max="8" width="14.5703125" customWidth="1"/>
    <col min="11" max="11" width="13.85546875" customWidth="1"/>
    <col min="12" max="12" width="14.28515625" customWidth="1"/>
    <col min="13" max="13" width="13.5703125" customWidth="1"/>
    <col min="14" max="14" width="15.85546875" customWidth="1"/>
    <col min="15" max="15" width="14.85546875" customWidth="1"/>
    <col min="16" max="16" width="14" customWidth="1"/>
  </cols>
  <sheetData>
    <row r="2" spans="2:16" ht="19.5">
      <c r="B2" s="223" t="s">
        <v>81</v>
      </c>
      <c r="C2" s="223"/>
      <c r="D2" s="223"/>
      <c r="E2" s="223"/>
      <c r="F2" s="223"/>
      <c r="G2" s="223"/>
      <c r="K2" s="223"/>
      <c r="L2" s="223"/>
      <c r="M2" s="223"/>
      <c r="N2" s="223"/>
      <c r="O2" s="223"/>
      <c r="P2" s="223"/>
    </row>
    <row r="3" spans="2:16" ht="13.5" thickBot="1"/>
    <row r="4" spans="2:16" ht="27" customHeight="1" thickBot="1">
      <c r="B4" s="104" t="s">
        <v>1</v>
      </c>
      <c r="C4" s="103">
        <v>2009</v>
      </c>
      <c r="D4" s="324">
        <v>2010</v>
      </c>
      <c r="E4" s="325">
        <v>2011</v>
      </c>
      <c r="F4" s="326">
        <v>2012</v>
      </c>
      <c r="G4" s="326">
        <v>2013</v>
      </c>
      <c r="K4" s="181"/>
      <c r="L4" s="182"/>
      <c r="M4" s="182"/>
      <c r="N4" s="182"/>
      <c r="O4" s="182"/>
      <c r="P4" s="182"/>
    </row>
    <row r="5" spans="2:16" ht="21" customHeight="1">
      <c r="B5" s="105" t="s">
        <v>2</v>
      </c>
      <c r="C5" s="323">
        <v>371.01799999999997</v>
      </c>
      <c r="D5" s="332">
        <f>+[1]UTAMA!$I$20</f>
        <v>297.31700000000001</v>
      </c>
      <c r="E5" s="323">
        <v>626.15</v>
      </c>
      <c r="F5" s="328">
        <v>634.45000000000005</v>
      </c>
      <c r="G5" s="329">
        <v>438.41699999999997</v>
      </c>
      <c r="K5" s="183"/>
      <c r="L5" s="184"/>
      <c r="M5" s="184"/>
      <c r="N5" s="184"/>
      <c r="O5" s="184"/>
      <c r="P5" s="184"/>
    </row>
    <row r="6" spans="2:16" ht="21" customHeight="1">
      <c r="B6" s="106" t="s">
        <v>3</v>
      </c>
      <c r="C6" s="322">
        <v>538.33000000000004</v>
      </c>
      <c r="D6" s="330">
        <f>+[2]UTAMA!$I$20</f>
        <v>464.346</v>
      </c>
      <c r="E6" s="322">
        <v>632.65599999999995</v>
      </c>
      <c r="F6" s="329">
        <v>685.53</v>
      </c>
      <c r="G6" s="329">
        <v>526.01599999999996</v>
      </c>
      <c r="K6" s="183"/>
      <c r="L6" s="184"/>
      <c r="M6" s="184"/>
      <c r="N6" s="184"/>
      <c r="O6" s="184"/>
      <c r="P6" s="184"/>
    </row>
    <row r="7" spans="2:16" ht="21" customHeight="1">
      <c r="B7" s="106" t="s">
        <v>4</v>
      </c>
      <c r="C7" s="322">
        <v>635.34799999999996</v>
      </c>
      <c r="D7" s="333">
        <f>+[3]UTAMA!$I$20</f>
        <v>576.42600000000004</v>
      </c>
      <c r="E7" s="322">
        <v>659.923</v>
      </c>
      <c r="F7" s="329">
        <v>679.47</v>
      </c>
      <c r="G7" s="329">
        <v>674.24699999999996</v>
      </c>
      <c r="K7" s="183"/>
      <c r="L7" s="184"/>
      <c r="M7" s="184"/>
      <c r="N7" s="184"/>
      <c r="O7" s="184"/>
      <c r="P7" s="184"/>
    </row>
    <row r="8" spans="2:16" ht="21" customHeight="1">
      <c r="B8" s="106" t="s">
        <v>5</v>
      </c>
      <c r="C8" s="322">
        <v>613.649</v>
      </c>
      <c r="D8" s="334">
        <f>+[4]UTAMA!$I$20</f>
        <v>635.34799999999996</v>
      </c>
      <c r="E8" s="322">
        <v>659.923</v>
      </c>
      <c r="F8" s="329">
        <v>655.19399999999996</v>
      </c>
      <c r="G8" s="329">
        <v>721.81299999999999</v>
      </c>
      <c r="K8" s="183"/>
      <c r="L8" s="184"/>
      <c r="M8" s="184"/>
      <c r="N8" s="186"/>
      <c r="O8" s="184"/>
      <c r="P8" s="184"/>
    </row>
    <row r="9" spans="2:16" ht="21" customHeight="1">
      <c r="B9" s="106" t="s">
        <v>6</v>
      </c>
      <c r="C9" s="322">
        <v>588.05100000000004</v>
      </c>
      <c r="D9" s="329">
        <f>+[5]UTAMA!$I$20</f>
        <v>703.10299999999995</v>
      </c>
      <c r="E9" s="322">
        <v>661.9</v>
      </c>
      <c r="F9" s="329">
        <v>586.59</v>
      </c>
      <c r="G9" s="329">
        <v>674.64800000000002</v>
      </c>
      <c r="K9" s="183"/>
      <c r="L9" s="184"/>
      <c r="M9" s="184"/>
      <c r="N9" s="184"/>
      <c r="O9" s="184"/>
      <c r="P9" s="184"/>
    </row>
    <row r="10" spans="2:16" ht="21" customHeight="1">
      <c r="B10" s="106" t="s">
        <v>7</v>
      </c>
      <c r="C10" s="322">
        <v>604.51800000000003</v>
      </c>
      <c r="D10" s="330">
        <v>704.34</v>
      </c>
      <c r="E10" s="322">
        <v>649.70500000000004</v>
      </c>
      <c r="F10" s="329">
        <v>569.24</v>
      </c>
      <c r="G10" s="329">
        <v>711.37800000000004</v>
      </c>
      <c r="K10" s="183"/>
      <c r="L10" s="184"/>
      <c r="M10" s="184"/>
      <c r="N10" s="184"/>
      <c r="O10" s="184"/>
      <c r="P10" s="184"/>
    </row>
    <row r="11" spans="2:16" ht="21" customHeight="1">
      <c r="B11" s="106" t="s">
        <v>8</v>
      </c>
      <c r="C11" s="322">
        <v>593.78099999999995</v>
      </c>
      <c r="D11" s="330">
        <v>703.92700000000002</v>
      </c>
      <c r="E11" s="322">
        <v>671.44600000000003</v>
      </c>
      <c r="F11" s="329">
        <v>550.83600000000001</v>
      </c>
      <c r="G11" s="329">
        <v>682.29399999999998</v>
      </c>
      <c r="K11" s="183"/>
      <c r="L11" s="184"/>
      <c r="M11" s="184"/>
      <c r="N11" s="184"/>
      <c r="O11" s="184"/>
      <c r="P11" s="184"/>
    </row>
    <row r="12" spans="2:16" ht="21" customHeight="1">
      <c r="B12" s="106" t="s">
        <v>9</v>
      </c>
      <c r="C12" s="322">
        <v>585.495</v>
      </c>
      <c r="D12" s="330">
        <f>+[6]UTAMA!$I$20</f>
        <v>710.13199999999995</v>
      </c>
      <c r="E12" s="322">
        <v>664.27700000000004</v>
      </c>
      <c r="F12" s="329">
        <v>542.47699999999998</v>
      </c>
      <c r="G12" s="329">
        <v>682.29399999999998</v>
      </c>
      <c r="K12" s="183"/>
      <c r="L12" s="184"/>
      <c r="M12" s="184"/>
      <c r="N12" s="184"/>
      <c r="O12" s="184"/>
      <c r="P12" s="184"/>
    </row>
    <row r="13" spans="2:16" ht="21" customHeight="1">
      <c r="B13" s="106" t="s">
        <v>10</v>
      </c>
      <c r="C13" s="322">
        <v>464.346</v>
      </c>
      <c r="D13" s="330">
        <f>+[7]UTAMA!$I$20</f>
        <v>686.98599999999999</v>
      </c>
      <c r="E13" s="322">
        <v>564.245</v>
      </c>
      <c r="F13" s="329">
        <v>525.67700000000002</v>
      </c>
      <c r="G13" s="329">
        <v>550.52800000000002</v>
      </c>
      <c r="K13" s="183"/>
      <c r="L13" s="184"/>
      <c r="M13" s="184"/>
      <c r="N13" s="184"/>
      <c r="O13" s="184"/>
      <c r="P13" s="184"/>
    </row>
    <row r="14" spans="2:16" ht="21" customHeight="1">
      <c r="B14" s="106" t="s">
        <v>11</v>
      </c>
      <c r="C14" s="322">
        <v>331.67700000000002</v>
      </c>
      <c r="D14" s="330">
        <f>+[8]UTAMA!$I$20</f>
        <v>665.46900000000005</v>
      </c>
      <c r="E14" s="322">
        <v>424.15199999999999</v>
      </c>
      <c r="F14" s="329">
        <v>361.69600000000003</v>
      </c>
      <c r="G14" s="329">
        <v>410.85300000000001</v>
      </c>
      <c r="K14" s="183"/>
      <c r="L14" s="184"/>
      <c r="M14" s="184"/>
      <c r="N14" s="184"/>
      <c r="O14" s="184"/>
      <c r="P14" s="184"/>
    </row>
    <row r="15" spans="2:16" ht="21" customHeight="1">
      <c r="B15" s="106" t="s">
        <v>12</v>
      </c>
      <c r="C15" s="322">
        <v>198.15100000000001</v>
      </c>
      <c r="D15" s="330">
        <f>+[9]UTAMA!$I$20</f>
        <v>655.58699999999999</v>
      </c>
      <c r="E15" s="322">
        <v>497.89299999999997</v>
      </c>
      <c r="F15" s="329">
        <v>272.79599999999999</v>
      </c>
      <c r="G15" s="329">
        <v>338.93700000000001</v>
      </c>
      <c r="K15" s="183"/>
      <c r="L15" s="184"/>
      <c r="M15" s="184"/>
      <c r="N15" s="184"/>
      <c r="O15" s="184"/>
      <c r="P15" s="184"/>
    </row>
    <row r="16" spans="2:16" ht="21" customHeight="1" thickBot="1">
      <c r="B16" s="107" t="s">
        <v>13</v>
      </c>
      <c r="C16" s="327">
        <v>148.17099999999999</v>
      </c>
      <c r="D16" s="331">
        <v>664.27700000000004</v>
      </c>
      <c r="E16" s="327">
        <v>543.51700000000005</v>
      </c>
      <c r="F16" s="329">
        <f>+UTAMA!H18</f>
        <v>81.23</v>
      </c>
      <c r="G16" s="329">
        <f>+UTAMA!I18</f>
        <v>384.69600000000003</v>
      </c>
      <c r="K16" s="183"/>
      <c r="L16" s="185"/>
      <c r="M16" s="185"/>
      <c r="N16" s="185"/>
      <c r="O16" s="185"/>
      <c r="P16" s="185"/>
    </row>
    <row r="36" spans="1:11">
      <c r="A36" s="77"/>
    </row>
    <row r="47" spans="1:11">
      <c r="B47" s="78"/>
      <c r="K47" s="78"/>
    </row>
    <row r="49" spans="2:11">
      <c r="B49" s="78"/>
      <c r="K49" s="78"/>
    </row>
    <row r="50" spans="2:11">
      <c r="B50" s="79" t="s">
        <v>14</v>
      </c>
      <c r="C50" s="79"/>
      <c r="K50" s="12"/>
    </row>
    <row r="52" spans="2:11">
      <c r="B52" s="367" t="s">
        <v>159</v>
      </c>
    </row>
    <row r="53" spans="2:11">
      <c r="B53" s="79" t="s">
        <v>82</v>
      </c>
    </row>
  </sheetData>
  <phoneticPr fontId="47" type="noConversion"/>
  <pageMargins left="1.2204724409448819" right="0.39370078740157483" top="0.6692913385826772" bottom="0.59055118110236227" header="0.51181102362204722" footer="0.51181102362204722"/>
  <pageSetup scale="85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454"/>
  <sheetViews>
    <sheetView topLeftCell="J1" zoomScale="120" zoomScaleNormal="120" workbookViewId="0">
      <selection activeCell="L1" sqref="L1:X59"/>
    </sheetView>
  </sheetViews>
  <sheetFormatPr defaultRowHeight="12.75"/>
  <cols>
    <col min="1" max="1" width="5" customWidth="1"/>
    <col min="2" max="2" width="20" customWidth="1"/>
    <col min="3" max="3" width="15.85546875" customWidth="1"/>
    <col min="4" max="4" width="13.28515625" customWidth="1"/>
    <col min="5" max="5" width="14.7109375" customWidth="1"/>
    <col min="6" max="6" width="13.5703125" customWidth="1"/>
    <col min="7" max="7" width="14.28515625" customWidth="1"/>
    <col min="8" max="8" width="13.42578125" customWidth="1"/>
    <col min="9" max="9" width="19" customWidth="1"/>
    <col min="10" max="10" width="16.42578125" customWidth="1"/>
    <col min="11" max="11" width="19.28515625" customWidth="1"/>
    <col min="12" max="12" width="14.5703125" customWidth="1"/>
    <col min="13" max="13" width="6.140625" customWidth="1"/>
    <col min="14" max="14" width="5.7109375" customWidth="1"/>
    <col min="15" max="15" width="5.42578125" customWidth="1"/>
    <col min="16" max="16" width="6.5703125" customWidth="1"/>
    <col min="17" max="17" width="7.140625" customWidth="1"/>
    <col min="18" max="19" width="6.140625" customWidth="1"/>
    <col min="20" max="20" width="5.5703125" customWidth="1"/>
    <col min="21" max="21" width="6.42578125" customWidth="1"/>
    <col min="22" max="22" width="6.28515625" customWidth="1"/>
    <col min="23" max="23" width="6.5703125" customWidth="1"/>
    <col min="24" max="24" width="6.85546875" customWidth="1"/>
    <col min="25" max="26" width="8" customWidth="1"/>
    <col min="27" max="27" width="14" customWidth="1"/>
    <col min="28" max="28" width="26.7109375" customWidth="1"/>
    <col min="29" max="29" width="25" customWidth="1"/>
    <col min="30" max="30" width="6.5703125" customWidth="1"/>
    <col min="31" max="31" width="7" customWidth="1"/>
    <col min="32" max="32" width="6.85546875" customWidth="1"/>
    <col min="33" max="33" width="6" customWidth="1"/>
    <col min="34" max="34" width="6.7109375" customWidth="1"/>
    <col min="35" max="35" width="6.140625" customWidth="1"/>
    <col min="36" max="36" width="6.28515625" customWidth="1"/>
    <col min="37" max="37" width="5.85546875" customWidth="1"/>
    <col min="38" max="38" width="6" customWidth="1"/>
    <col min="39" max="39" width="5.5703125" customWidth="1"/>
  </cols>
  <sheetData>
    <row r="1" spans="1:29" ht="17.100000000000001" customHeight="1">
      <c r="A1" s="45" t="s">
        <v>165</v>
      </c>
      <c r="B1" s="45"/>
      <c r="C1" s="45"/>
      <c r="D1" s="45"/>
      <c r="E1" s="45"/>
      <c r="F1" s="45"/>
      <c r="G1" s="489"/>
      <c r="H1" s="391"/>
      <c r="I1" s="563"/>
      <c r="J1" s="73"/>
      <c r="L1" s="12"/>
    </row>
    <row r="2" spans="1:29" ht="25.5" customHeight="1">
      <c r="A2" s="45" t="s">
        <v>168</v>
      </c>
      <c r="B2" s="45"/>
      <c r="C2" s="45"/>
      <c r="D2" s="45"/>
      <c r="E2" s="45"/>
      <c r="F2" s="45"/>
      <c r="G2" s="489"/>
      <c r="H2" s="391"/>
      <c r="I2" s="563"/>
      <c r="J2" s="73"/>
      <c r="L2" s="611" t="s">
        <v>207</v>
      </c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AA2" s="612"/>
      <c r="AB2" s="612"/>
      <c r="AC2" s="612"/>
    </row>
    <row r="3" spans="1:29" ht="17.100000000000001" customHeight="1">
      <c r="A3" s="45"/>
      <c r="B3" s="45"/>
      <c r="C3" s="45"/>
      <c r="D3" s="45"/>
      <c r="E3" s="45"/>
      <c r="F3" s="45"/>
      <c r="G3" s="489"/>
      <c r="H3" s="391"/>
      <c r="I3" s="563"/>
      <c r="J3" s="73"/>
      <c r="L3" s="611" t="s">
        <v>208</v>
      </c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1"/>
      <c r="X3" s="611"/>
    </row>
    <row r="4" spans="1:29" ht="21" customHeight="1" thickBot="1">
      <c r="A4" s="224" t="s">
        <v>84</v>
      </c>
      <c r="B4" s="225"/>
      <c r="C4" s="225"/>
      <c r="D4" s="225"/>
      <c r="E4" s="225"/>
      <c r="F4" s="225"/>
      <c r="G4" s="225"/>
      <c r="H4" s="392"/>
      <c r="I4" s="564"/>
      <c r="J4" s="225"/>
      <c r="L4" s="44"/>
    </row>
    <row r="5" spans="1:29" ht="21" customHeight="1">
      <c r="A5" s="224"/>
      <c r="B5" s="225"/>
      <c r="C5" s="225"/>
      <c r="D5" s="225"/>
      <c r="E5" s="225"/>
      <c r="F5" s="225"/>
      <c r="G5" s="225"/>
      <c r="H5" s="392"/>
      <c r="I5" s="564"/>
      <c r="J5" s="225"/>
      <c r="L5" s="537" t="s">
        <v>171</v>
      </c>
      <c r="M5" s="538" t="s">
        <v>172</v>
      </c>
      <c r="N5" s="539" t="s">
        <v>173</v>
      </c>
      <c r="O5" s="539" t="s">
        <v>174</v>
      </c>
      <c r="P5" s="539" t="s">
        <v>175</v>
      </c>
      <c r="Q5" s="539" t="s">
        <v>137</v>
      </c>
      <c r="R5" s="539" t="s">
        <v>176</v>
      </c>
      <c r="S5" s="539" t="s">
        <v>177</v>
      </c>
      <c r="T5" s="539" t="s">
        <v>178</v>
      </c>
      <c r="U5" s="539" t="s">
        <v>179</v>
      </c>
      <c r="V5" s="539" t="s">
        <v>180</v>
      </c>
      <c r="W5" s="539" t="s">
        <v>181</v>
      </c>
      <c r="X5" s="540" t="s">
        <v>182</v>
      </c>
    </row>
    <row r="6" spans="1:29" ht="21" customHeight="1" thickBot="1">
      <c r="A6" s="226" t="s">
        <v>226</v>
      </c>
      <c r="B6" s="226"/>
      <c r="C6" s="226"/>
      <c r="D6" s="226"/>
      <c r="E6" s="226"/>
      <c r="F6" s="226"/>
      <c r="G6" s="226"/>
      <c r="H6" s="393"/>
      <c r="I6" s="468"/>
      <c r="J6" s="226"/>
      <c r="L6" s="512"/>
      <c r="M6" s="513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514"/>
    </row>
    <row r="7" spans="1:29" ht="13.5" thickBot="1">
      <c r="H7" s="377"/>
      <c r="I7" s="484"/>
      <c r="J7" s="253" t="s">
        <v>227</v>
      </c>
      <c r="L7" s="511">
        <v>1</v>
      </c>
      <c r="M7" s="517">
        <v>954.81</v>
      </c>
      <c r="N7" s="518">
        <v>1300</v>
      </c>
      <c r="O7" s="518">
        <v>1459</v>
      </c>
      <c r="P7" s="518">
        <v>1622.7</v>
      </c>
      <c r="Q7" s="518">
        <v>1735</v>
      </c>
      <c r="R7" s="518">
        <v>1689.3</v>
      </c>
      <c r="S7" s="518">
        <v>1684.0540000000001</v>
      </c>
      <c r="T7" s="518">
        <v>1560</v>
      </c>
      <c r="U7" s="518">
        <v>1370</v>
      </c>
      <c r="V7" s="518">
        <v>1087.08</v>
      </c>
      <c r="W7" s="518">
        <v>865.47900000000004</v>
      </c>
      <c r="X7" s="519">
        <v>749</v>
      </c>
    </row>
    <row r="8" spans="1:29" ht="15.75" customHeight="1">
      <c r="A8" s="605" t="s">
        <v>20</v>
      </c>
      <c r="B8" s="608" t="s">
        <v>21</v>
      </c>
      <c r="C8" s="608" t="s">
        <v>85</v>
      </c>
      <c r="D8" s="231" t="s">
        <v>22</v>
      </c>
      <c r="E8" s="232"/>
      <c r="F8" s="231" t="s">
        <v>23</v>
      </c>
      <c r="G8" s="232"/>
      <c r="H8" s="394" t="s">
        <v>24</v>
      </c>
      <c r="I8" s="565"/>
      <c r="J8" s="613" t="s">
        <v>224</v>
      </c>
      <c r="K8" s="358"/>
      <c r="L8" s="515">
        <v>2</v>
      </c>
      <c r="M8" s="520">
        <v>977.36699999999996</v>
      </c>
      <c r="N8" s="493">
        <v>1312</v>
      </c>
      <c r="O8" s="493">
        <v>1457</v>
      </c>
      <c r="P8" s="493">
        <v>1631</v>
      </c>
      <c r="Q8" s="493">
        <v>1733</v>
      </c>
      <c r="R8" s="493">
        <v>1689.5</v>
      </c>
      <c r="S8" s="493">
        <v>1684</v>
      </c>
      <c r="T8" s="493">
        <v>1555</v>
      </c>
      <c r="U8" s="493">
        <v>1350.79</v>
      </c>
      <c r="V8" s="493">
        <v>1064.8599999999999</v>
      </c>
      <c r="W8" s="493">
        <v>858.67100000000005</v>
      </c>
      <c r="X8" s="521">
        <v>747</v>
      </c>
    </row>
    <row r="9" spans="1:29" ht="15.75" customHeight="1">
      <c r="A9" s="606"/>
      <c r="B9" s="609"/>
      <c r="C9" s="609"/>
      <c r="D9" s="4" t="s">
        <v>26</v>
      </c>
      <c r="E9" s="4" t="s">
        <v>27</v>
      </c>
      <c r="F9" s="3" t="s">
        <v>26</v>
      </c>
      <c r="G9" s="4" t="s">
        <v>27</v>
      </c>
      <c r="H9" s="396" t="s">
        <v>26</v>
      </c>
      <c r="I9" s="566" t="s">
        <v>27</v>
      </c>
      <c r="J9" s="614"/>
      <c r="K9" s="358"/>
      <c r="L9" s="515">
        <v>3</v>
      </c>
      <c r="M9" s="520">
        <v>1019</v>
      </c>
      <c r="N9" s="493">
        <v>1322</v>
      </c>
      <c r="O9" s="493">
        <v>1485</v>
      </c>
      <c r="P9" s="493">
        <v>1637</v>
      </c>
      <c r="Q9" s="493">
        <v>1727</v>
      </c>
      <c r="R9" s="493">
        <v>1692.23</v>
      </c>
      <c r="S9" s="493">
        <v>1686</v>
      </c>
      <c r="T9" s="493">
        <v>1550</v>
      </c>
      <c r="U9" s="493">
        <v>1341.39</v>
      </c>
      <c r="V9" s="493">
        <v>1056.0999999999999</v>
      </c>
      <c r="W9" s="493">
        <v>849.43399999999997</v>
      </c>
      <c r="X9" s="521">
        <v>759.58</v>
      </c>
    </row>
    <row r="10" spans="1:29" ht="15.75" customHeight="1" thickBot="1">
      <c r="A10" s="607"/>
      <c r="B10" s="610"/>
      <c r="C10" s="610"/>
      <c r="D10" s="2" t="s">
        <v>28</v>
      </c>
      <c r="E10" s="2" t="s">
        <v>29</v>
      </c>
      <c r="F10" s="72" t="s">
        <v>28</v>
      </c>
      <c r="G10" s="2" t="s">
        <v>29</v>
      </c>
      <c r="H10" s="398" t="s">
        <v>209</v>
      </c>
      <c r="I10" s="567" t="s">
        <v>29</v>
      </c>
      <c r="J10" s="615"/>
      <c r="K10" s="358"/>
      <c r="L10" s="515">
        <v>4</v>
      </c>
      <c r="M10" s="520">
        <v>1055</v>
      </c>
      <c r="N10" s="493">
        <v>1341</v>
      </c>
      <c r="O10" s="493">
        <v>1506</v>
      </c>
      <c r="P10" s="493">
        <v>1641.6</v>
      </c>
      <c r="Q10" s="493">
        <v>1721</v>
      </c>
      <c r="R10" s="493">
        <v>1680</v>
      </c>
      <c r="S10" s="493">
        <v>1689</v>
      </c>
      <c r="T10" s="493">
        <v>1545</v>
      </c>
      <c r="U10" s="493">
        <v>1332.71</v>
      </c>
      <c r="V10" s="493">
        <v>1046.93</v>
      </c>
      <c r="W10" s="493">
        <v>839.24699999999996</v>
      </c>
      <c r="X10" s="521">
        <v>755.8</v>
      </c>
    </row>
    <row r="11" spans="1:29" ht="17.100000000000001" customHeight="1" thickBot="1">
      <c r="A11" s="70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400">
        <v>8</v>
      </c>
      <c r="I11" s="467">
        <v>9</v>
      </c>
      <c r="J11" s="71">
        <v>10</v>
      </c>
      <c r="K11" s="358"/>
      <c r="L11" s="515">
        <v>5</v>
      </c>
      <c r="M11" s="520">
        <v>1093</v>
      </c>
      <c r="N11" s="493">
        <v>1340</v>
      </c>
      <c r="O11" s="493">
        <v>1480</v>
      </c>
      <c r="P11" s="493">
        <v>1650</v>
      </c>
      <c r="Q11" s="493">
        <v>1724</v>
      </c>
      <c r="R11" s="493">
        <v>1672</v>
      </c>
      <c r="S11" s="493">
        <v>1689</v>
      </c>
      <c r="T11" s="493">
        <v>1535</v>
      </c>
      <c r="U11" s="493">
        <v>1326.75</v>
      </c>
      <c r="V11" s="493">
        <v>1037.18</v>
      </c>
      <c r="W11" s="493">
        <v>833.35</v>
      </c>
      <c r="X11" s="521">
        <v>749.93</v>
      </c>
    </row>
    <row r="12" spans="1:29" ht="15.75" customHeight="1">
      <c r="A12" s="138">
        <v>1</v>
      </c>
      <c r="B12" s="139" t="s">
        <v>31</v>
      </c>
      <c r="C12" s="139" t="s">
        <v>86</v>
      </c>
      <c r="D12" s="140">
        <v>55.75</v>
      </c>
      <c r="E12" s="378">
        <v>37.046999999999997</v>
      </c>
      <c r="F12" s="417">
        <v>49.4</v>
      </c>
      <c r="G12" s="401">
        <v>5.2549999999999999</v>
      </c>
      <c r="H12" s="544">
        <v>50.66</v>
      </c>
      <c r="I12" s="485">
        <v>8.7780000000000005</v>
      </c>
      <c r="J12" s="560" t="s">
        <v>210</v>
      </c>
      <c r="K12" s="358"/>
      <c r="L12" s="516">
        <v>6</v>
      </c>
      <c r="M12" s="520">
        <v>1149</v>
      </c>
      <c r="N12" s="493">
        <v>1342</v>
      </c>
      <c r="O12" s="493">
        <v>1475</v>
      </c>
      <c r="P12" s="493">
        <v>1662</v>
      </c>
      <c r="Q12" s="493">
        <v>1705</v>
      </c>
      <c r="R12" s="493">
        <v>1672</v>
      </c>
      <c r="S12" s="493">
        <v>1683</v>
      </c>
      <c r="T12" s="493">
        <v>1520</v>
      </c>
      <c r="U12" s="493">
        <v>1318.39</v>
      </c>
      <c r="V12" s="493">
        <v>1026.43</v>
      </c>
      <c r="W12" s="493">
        <v>823.41</v>
      </c>
      <c r="X12" s="521">
        <v>747.34</v>
      </c>
    </row>
    <row r="13" spans="1:29" ht="15" customHeight="1">
      <c r="A13" s="141">
        <f>+A12+1</f>
        <v>2</v>
      </c>
      <c r="B13" s="142" t="s">
        <v>32</v>
      </c>
      <c r="C13" s="142" t="s">
        <v>86</v>
      </c>
      <c r="D13" s="143">
        <v>339.5</v>
      </c>
      <c r="E13" s="379">
        <v>7.77</v>
      </c>
      <c r="F13" s="418">
        <v>336.59</v>
      </c>
      <c r="G13" s="403">
        <v>5.2530000000000001</v>
      </c>
      <c r="H13" s="545">
        <v>339.48</v>
      </c>
      <c r="I13" s="379">
        <v>7.7549999999999999</v>
      </c>
      <c r="J13" s="321" t="s">
        <v>211</v>
      </c>
      <c r="K13" s="358"/>
      <c r="L13" s="515">
        <v>7</v>
      </c>
      <c r="M13" s="520">
        <v>1199</v>
      </c>
      <c r="N13" s="493">
        <v>1346</v>
      </c>
      <c r="O13" s="493">
        <v>1472</v>
      </c>
      <c r="P13" s="493">
        <v>1690</v>
      </c>
      <c r="Q13" s="493">
        <v>1701</v>
      </c>
      <c r="R13" s="493">
        <v>1677</v>
      </c>
      <c r="S13" s="493">
        <v>1674</v>
      </c>
      <c r="T13" s="493">
        <v>1510</v>
      </c>
      <c r="U13" s="493">
        <v>1310.04</v>
      </c>
      <c r="V13" s="493">
        <v>1015.48</v>
      </c>
      <c r="W13" s="493">
        <v>824.83</v>
      </c>
      <c r="X13" s="521">
        <v>742.31700000000001</v>
      </c>
    </row>
    <row r="14" spans="1:29" ht="17.25" customHeight="1">
      <c r="A14" s="141">
        <f t="shared" ref="A14:A48" si="0">+A13+1</f>
        <v>3</v>
      </c>
      <c r="B14" s="142" t="s">
        <v>33</v>
      </c>
      <c r="C14" s="142" t="s">
        <v>87</v>
      </c>
      <c r="D14" s="143">
        <v>77.5</v>
      </c>
      <c r="E14" s="379">
        <v>49.02</v>
      </c>
      <c r="F14" s="402">
        <v>68.95</v>
      </c>
      <c r="G14" s="403">
        <v>10.069000000000001</v>
      </c>
      <c r="H14" s="545">
        <v>72.92</v>
      </c>
      <c r="I14" s="379">
        <v>23.931999999999999</v>
      </c>
      <c r="J14" s="321" t="s">
        <v>33</v>
      </c>
      <c r="K14" s="358"/>
      <c r="L14" s="515">
        <v>8</v>
      </c>
      <c r="M14" s="520">
        <v>1187</v>
      </c>
      <c r="N14" s="493">
        <v>1341</v>
      </c>
      <c r="O14" s="493">
        <v>1474</v>
      </c>
      <c r="P14" s="493">
        <v>1739</v>
      </c>
      <c r="Q14" s="493">
        <v>1699.84</v>
      </c>
      <c r="R14" s="493">
        <v>1686</v>
      </c>
      <c r="S14" s="493">
        <v>1669</v>
      </c>
      <c r="T14" s="493">
        <v>1499</v>
      </c>
      <c r="U14" s="493">
        <v>1302.79</v>
      </c>
      <c r="V14" s="493">
        <v>1005.84</v>
      </c>
      <c r="W14" s="493">
        <v>823.99699999999996</v>
      </c>
      <c r="X14" s="521">
        <v>741.89599999999996</v>
      </c>
    </row>
    <row r="15" spans="1:29" ht="17.25" customHeight="1">
      <c r="A15" s="141">
        <f t="shared" si="0"/>
        <v>4</v>
      </c>
      <c r="B15" s="142" t="s">
        <v>34</v>
      </c>
      <c r="C15" s="142" t="s">
        <v>88</v>
      </c>
      <c r="D15" s="143">
        <v>463.3</v>
      </c>
      <c r="E15" s="379">
        <v>49.9</v>
      </c>
      <c r="F15" s="404">
        <v>461.72</v>
      </c>
      <c r="G15" s="419">
        <v>19.920000000000002</v>
      </c>
      <c r="H15" s="546">
        <v>461.65</v>
      </c>
      <c r="I15" s="597">
        <v>18.8</v>
      </c>
      <c r="J15" s="321" t="s">
        <v>212</v>
      </c>
      <c r="K15" s="358"/>
      <c r="L15" s="515">
        <v>9</v>
      </c>
      <c r="M15" s="520">
        <v>1210</v>
      </c>
      <c r="N15" s="493">
        <v>1342</v>
      </c>
      <c r="O15" s="493">
        <v>1474</v>
      </c>
      <c r="P15" s="493">
        <v>1732</v>
      </c>
      <c r="Q15" s="493">
        <v>1694</v>
      </c>
      <c r="R15" s="493">
        <v>1687.7</v>
      </c>
      <c r="S15" s="493">
        <v>1676</v>
      </c>
      <c r="T15" s="493">
        <v>1490</v>
      </c>
      <c r="U15" s="493">
        <v>1286.2</v>
      </c>
      <c r="V15" s="493">
        <v>996.82</v>
      </c>
      <c r="W15" s="493">
        <v>809.72199999999998</v>
      </c>
      <c r="X15" s="521">
        <v>746.67700000000002</v>
      </c>
      <c r="Y15" s="196"/>
    </row>
    <row r="16" spans="1:29" ht="17.25" customHeight="1">
      <c r="A16" s="141">
        <f t="shared" si="0"/>
        <v>5</v>
      </c>
      <c r="B16" s="142" t="s">
        <v>35</v>
      </c>
      <c r="C16" s="142" t="s">
        <v>89</v>
      </c>
      <c r="D16" s="143">
        <v>207</v>
      </c>
      <c r="E16" s="379">
        <v>9.5030000000000001</v>
      </c>
      <c r="F16" s="404">
        <v>198.71</v>
      </c>
      <c r="G16" s="420">
        <v>2.6</v>
      </c>
      <c r="H16" s="547">
        <v>199.99</v>
      </c>
      <c r="I16" s="469">
        <v>3.278</v>
      </c>
      <c r="J16" s="321" t="s">
        <v>213</v>
      </c>
      <c r="K16" s="358"/>
      <c r="L16" s="515">
        <v>10</v>
      </c>
      <c r="M16" s="520">
        <v>1210</v>
      </c>
      <c r="N16" s="493">
        <v>1349</v>
      </c>
      <c r="O16" s="493">
        <v>1494</v>
      </c>
      <c r="P16" s="493">
        <v>1731</v>
      </c>
      <c r="Q16" s="493">
        <v>1687</v>
      </c>
      <c r="R16" s="493">
        <v>1691</v>
      </c>
      <c r="S16" s="493">
        <v>1661.7</v>
      </c>
      <c r="T16" s="493">
        <v>1478</v>
      </c>
      <c r="U16" s="493">
        <v>1283</v>
      </c>
      <c r="V16" s="493">
        <v>991.32</v>
      </c>
      <c r="W16" s="493">
        <v>814.94399999999996</v>
      </c>
      <c r="X16" s="521">
        <v>747.23800000000006</v>
      </c>
    </row>
    <row r="17" spans="1:30" ht="17.25" customHeight="1">
      <c r="A17" s="141">
        <f t="shared" si="0"/>
        <v>6</v>
      </c>
      <c r="B17" s="142" t="s">
        <v>36</v>
      </c>
      <c r="C17" s="142" t="s">
        <v>89</v>
      </c>
      <c r="D17" s="143">
        <v>320</v>
      </c>
      <c r="E17" s="379">
        <v>5.1509999999999998</v>
      </c>
      <c r="F17" s="404">
        <v>311.26</v>
      </c>
      <c r="G17" s="420">
        <v>1.58</v>
      </c>
      <c r="H17" s="547">
        <v>311.87</v>
      </c>
      <c r="I17" s="469">
        <v>1.7829999999999999</v>
      </c>
      <c r="J17" s="321" t="s">
        <v>213</v>
      </c>
      <c r="K17" s="358"/>
      <c r="L17" s="516">
        <v>11</v>
      </c>
      <c r="M17" s="520">
        <v>1200</v>
      </c>
      <c r="N17" s="493">
        <v>1344</v>
      </c>
      <c r="O17" s="493">
        <v>1532</v>
      </c>
      <c r="P17" s="493">
        <v>1733.6</v>
      </c>
      <c r="Q17" s="493">
        <v>1681</v>
      </c>
      <c r="R17" s="493">
        <v>1697.6</v>
      </c>
      <c r="S17" s="493">
        <v>1661.35</v>
      </c>
      <c r="T17" s="493">
        <v>1474</v>
      </c>
      <c r="U17" s="493">
        <v>1275</v>
      </c>
      <c r="V17" s="493">
        <v>982.93</v>
      </c>
      <c r="W17" s="493">
        <v>808.94</v>
      </c>
      <c r="X17" s="521">
        <v>749.88599999999997</v>
      </c>
      <c r="Z17" s="358"/>
    </row>
    <row r="18" spans="1:30" ht="17.25" customHeight="1">
      <c r="A18" s="141">
        <f t="shared" si="0"/>
        <v>7</v>
      </c>
      <c r="B18" s="142" t="s">
        <v>37</v>
      </c>
      <c r="C18" s="142" t="s">
        <v>90</v>
      </c>
      <c r="D18" s="143">
        <v>90</v>
      </c>
      <c r="E18" s="379">
        <v>723.16</v>
      </c>
      <c r="F18" s="404">
        <v>77.599999999999994</v>
      </c>
      <c r="G18" s="588">
        <v>299.5</v>
      </c>
      <c r="H18" s="545">
        <v>81.23</v>
      </c>
      <c r="I18" s="380">
        <v>384.69600000000003</v>
      </c>
      <c r="J18" s="321" t="s">
        <v>214</v>
      </c>
      <c r="K18" s="358"/>
      <c r="L18" s="515">
        <v>12</v>
      </c>
      <c r="M18" s="520">
        <v>1186</v>
      </c>
      <c r="N18" s="493">
        <v>1339</v>
      </c>
      <c r="O18" s="493">
        <v>1536</v>
      </c>
      <c r="P18" s="493">
        <v>1739</v>
      </c>
      <c r="Q18" s="493">
        <v>1679</v>
      </c>
      <c r="R18" s="493">
        <v>1687.9</v>
      </c>
      <c r="S18" s="493">
        <v>1663.6</v>
      </c>
      <c r="T18" s="493">
        <v>1463</v>
      </c>
      <c r="U18" s="493">
        <v>1267</v>
      </c>
      <c r="V18" s="493">
        <v>976</v>
      </c>
      <c r="W18" s="493">
        <v>795.33600000000001</v>
      </c>
      <c r="X18" s="521">
        <v>755.173</v>
      </c>
      <c r="Z18" s="358"/>
    </row>
    <row r="19" spans="1:30" ht="16.5" customHeight="1">
      <c r="A19" s="141">
        <f t="shared" si="0"/>
        <v>8</v>
      </c>
      <c r="B19" s="142" t="s">
        <v>38</v>
      </c>
      <c r="C19" s="142" t="s">
        <v>91</v>
      </c>
      <c r="D19" s="143">
        <v>120.5</v>
      </c>
      <c r="E19" s="379">
        <v>2.0920000000000001</v>
      </c>
      <c r="F19" s="404">
        <v>116</v>
      </c>
      <c r="G19" s="419">
        <v>0.61</v>
      </c>
      <c r="H19" s="548">
        <v>115.54</v>
      </c>
      <c r="I19" s="469">
        <v>0.46200000000000002</v>
      </c>
      <c r="J19" s="321" t="s">
        <v>215</v>
      </c>
      <c r="K19" s="358"/>
      <c r="L19" s="515">
        <v>13</v>
      </c>
      <c r="M19" s="520">
        <v>1198</v>
      </c>
      <c r="N19" s="493">
        <v>1344</v>
      </c>
      <c r="O19" s="493">
        <v>1539</v>
      </c>
      <c r="P19" s="493">
        <v>1739</v>
      </c>
      <c r="Q19" s="493">
        <v>1672</v>
      </c>
      <c r="R19" s="493">
        <v>1685</v>
      </c>
      <c r="S19" s="493">
        <v>1668</v>
      </c>
      <c r="T19" s="493">
        <v>1455.75</v>
      </c>
      <c r="U19" s="493">
        <v>1259</v>
      </c>
      <c r="V19" s="493">
        <v>970</v>
      </c>
      <c r="W19" s="493">
        <v>794.52300000000002</v>
      </c>
      <c r="X19" s="521">
        <v>762.75099999999998</v>
      </c>
      <c r="Z19" s="358"/>
    </row>
    <row r="20" spans="1:30" ht="18" customHeight="1">
      <c r="A20" s="141">
        <f t="shared" si="0"/>
        <v>9</v>
      </c>
      <c r="B20" s="142" t="s">
        <v>39</v>
      </c>
      <c r="C20" s="142" t="s">
        <v>91</v>
      </c>
      <c r="D20" s="143">
        <v>120.8</v>
      </c>
      <c r="E20" s="379">
        <v>2.3530000000000002</v>
      </c>
      <c r="F20" s="404">
        <v>115.06</v>
      </c>
      <c r="G20" s="419">
        <v>0.71</v>
      </c>
      <c r="H20" s="548">
        <v>119.33</v>
      </c>
      <c r="I20" s="469">
        <v>1.613</v>
      </c>
      <c r="J20" s="321" t="s">
        <v>215</v>
      </c>
      <c r="K20" s="358"/>
      <c r="L20" s="515">
        <v>14</v>
      </c>
      <c r="M20" s="520">
        <v>1192</v>
      </c>
      <c r="N20" s="493">
        <v>1362</v>
      </c>
      <c r="O20" s="493">
        <v>1546</v>
      </c>
      <c r="P20" s="493">
        <v>1742</v>
      </c>
      <c r="Q20" s="493">
        <v>1681</v>
      </c>
      <c r="R20" s="493">
        <v>1693.7</v>
      </c>
      <c r="S20" s="493">
        <v>1674.07</v>
      </c>
      <c r="T20" s="493">
        <v>1450.76</v>
      </c>
      <c r="U20" s="493">
        <v>1250</v>
      </c>
      <c r="V20" s="493">
        <v>961</v>
      </c>
      <c r="W20" s="493">
        <v>794.86800000000005</v>
      </c>
      <c r="X20" s="521">
        <v>781.54200000000003</v>
      </c>
      <c r="Z20" s="358"/>
    </row>
    <row r="21" spans="1:30" ht="15.75" customHeight="1">
      <c r="A21" s="141">
        <f t="shared" si="0"/>
        <v>10</v>
      </c>
      <c r="B21" s="142" t="s">
        <v>40</v>
      </c>
      <c r="C21" s="142" t="s">
        <v>92</v>
      </c>
      <c r="D21" s="146">
        <v>46.5</v>
      </c>
      <c r="E21" s="373">
        <v>4.5999999999999996</v>
      </c>
      <c r="F21" s="405">
        <v>39.159999999999997</v>
      </c>
      <c r="G21" s="408">
        <v>0.68</v>
      </c>
      <c r="H21" s="547">
        <v>43.78</v>
      </c>
      <c r="I21" s="549">
        <v>2.5009999999999999</v>
      </c>
      <c r="J21" s="321" t="s">
        <v>216</v>
      </c>
      <c r="K21" s="358"/>
      <c r="L21" s="515">
        <v>15</v>
      </c>
      <c r="M21" s="520">
        <v>1177.675</v>
      </c>
      <c r="N21" s="493">
        <v>1360</v>
      </c>
      <c r="O21" s="493">
        <v>1558</v>
      </c>
      <c r="P21" s="493">
        <v>1749</v>
      </c>
      <c r="Q21" s="493">
        <v>1675</v>
      </c>
      <c r="R21" s="493">
        <v>1694.6</v>
      </c>
      <c r="S21" s="493">
        <v>1670.76</v>
      </c>
      <c r="T21" s="493">
        <v>1446.33</v>
      </c>
      <c r="U21" s="493">
        <v>1241</v>
      </c>
      <c r="V21" s="493">
        <v>956.40300000000002</v>
      </c>
      <c r="W21" s="493">
        <v>800.08199999999999</v>
      </c>
      <c r="X21" s="521">
        <v>792.23900000000003</v>
      </c>
      <c r="Z21" s="358"/>
    </row>
    <row r="22" spans="1:30" ht="17.25" customHeight="1">
      <c r="A22" s="141">
        <v>11</v>
      </c>
      <c r="B22" s="142" t="s">
        <v>42</v>
      </c>
      <c r="C22" s="142" t="s">
        <v>92</v>
      </c>
      <c r="D22" s="143">
        <v>51.5</v>
      </c>
      <c r="E22" s="379">
        <v>2.4159999999999999</v>
      </c>
      <c r="F22" s="404">
        <v>47.63</v>
      </c>
      <c r="G22" s="421">
        <v>1.1299999999999999</v>
      </c>
      <c r="H22" s="547">
        <v>49.64</v>
      </c>
      <c r="I22" s="373">
        <v>1.96</v>
      </c>
      <c r="J22" s="321" t="s">
        <v>217</v>
      </c>
      <c r="K22" s="358"/>
      <c r="L22" s="516">
        <v>16</v>
      </c>
      <c r="M22" s="520">
        <v>1185.29</v>
      </c>
      <c r="N22" s="493">
        <v>1366</v>
      </c>
      <c r="O22" s="493">
        <v>1560</v>
      </c>
      <c r="P22" s="493">
        <v>1763.884</v>
      </c>
      <c r="Q22" s="493">
        <v>1670</v>
      </c>
      <c r="R22" s="493">
        <v>1694</v>
      </c>
      <c r="S22" s="493">
        <v>1640.47</v>
      </c>
      <c r="T22" s="493">
        <v>1441.69</v>
      </c>
      <c r="U22" s="493">
        <v>1232</v>
      </c>
      <c r="V22" s="493">
        <v>948.41600000000005</v>
      </c>
      <c r="W22" s="493">
        <v>802.29100000000005</v>
      </c>
      <c r="X22" s="521">
        <v>804.75699999999995</v>
      </c>
      <c r="Z22" s="358"/>
    </row>
    <row r="23" spans="1:30" ht="17.25" customHeight="1">
      <c r="A23" s="141">
        <f t="shared" si="0"/>
        <v>12</v>
      </c>
      <c r="B23" s="142" t="s">
        <v>43</v>
      </c>
      <c r="C23" s="142" t="s">
        <v>90</v>
      </c>
      <c r="D23" s="143">
        <f>71 +10</f>
        <v>81</v>
      </c>
      <c r="E23" s="379">
        <v>1.093</v>
      </c>
      <c r="F23" s="143">
        <f>71 +5.18</f>
        <v>76.180000000000007</v>
      </c>
      <c r="G23" s="419">
        <v>0.39</v>
      </c>
      <c r="H23" s="545">
        <f>71 +4.98</f>
        <v>75.98</v>
      </c>
      <c r="I23" s="373">
        <v>0.37</v>
      </c>
      <c r="J23" s="321" t="s">
        <v>215</v>
      </c>
      <c r="K23" s="358"/>
      <c r="L23" s="515">
        <v>17</v>
      </c>
      <c r="M23" s="520">
        <v>1176.56</v>
      </c>
      <c r="N23" s="493">
        <v>1387</v>
      </c>
      <c r="O23" s="493">
        <v>1563</v>
      </c>
      <c r="P23" s="493">
        <v>1765.6179999999999</v>
      </c>
      <c r="Q23" s="493">
        <v>1659</v>
      </c>
      <c r="R23" s="493">
        <v>1719.48</v>
      </c>
      <c r="S23" s="493">
        <v>1665.32</v>
      </c>
      <c r="T23" s="493">
        <v>1438.12</v>
      </c>
      <c r="U23" s="493">
        <v>1211.2529999999999</v>
      </c>
      <c r="V23" s="493">
        <v>937.28499999999997</v>
      </c>
      <c r="W23" s="493">
        <v>805.74699999999996</v>
      </c>
      <c r="X23" s="521">
        <v>827.96600000000001</v>
      </c>
      <c r="Z23" s="358"/>
    </row>
    <row r="24" spans="1:30" ht="18" customHeight="1">
      <c r="A24" s="141">
        <f t="shared" si="0"/>
        <v>13</v>
      </c>
      <c r="B24" s="142" t="s">
        <v>44</v>
      </c>
      <c r="C24" s="142" t="s">
        <v>90</v>
      </c>
      <c r="D24" s="143">
        <f>75.8+7</f>
        <v>82.8</v>
      </c>
      <c r="E24" s="379">
        <v>0.42899999999999999</v>
      </c>
      <c r="F24" s="143">
        <f>75.8+5.84</f>
        <v>81.64</v>
      </c>
      <c r="G24" s="419">
        <v>0.26</v>
      </c>
      <c r="H24" s="545">
        <f>75.8+6.72</f>
        <v>82.52</v>
      </c>
      <c r="I24" s="373">
        <v>0.38500000000000001</v>
      </c>
      <c r="J24" s="321" t="s">
        <v>225</v>
      </c>
      <c r="K24" s="358"/>
      <c r="L24" s="515">
        <v>18</v>
      </c>
      <c r="M24" s="520">
        <v>1159.72</v>
      </c>
      <c r="N24" s="493">
        <v>1400</v>
      </c>
      <c r="O24" s="493">
        <v>1568</v>
      </c>
      <c r="P24" s="493">
        <v>1734.702</v>
      </c>
      <c r="Q24" s="493">
        <v>1657</v>
      </c>
      <c r="R24" s="493">
        <v>1732.4</v>
      </c>
      <c r="S24" s="493">
        <v>1659.42</v>
      </c>
      <c r="T24" s="493">
        <v>1434.58</v>
      </c>
      <c r="U24" s="493">
        <v>1203.5709999999999</v>
      </c>
      <c r="V24" s="493">
        <v>929.35500000000002</v>
      </c>
      <c r="W24" s="493">
        <v>811.31200000000001</v>
      </c>
      <c r="X24" s="521">
        <v>839.05700000000002</v>
      </c>
      <c r="Z24" s="358"/>
    </row>
    <row r="25" spans="1:30" ht="17.25" customHeight="1">
      <c r="A25" s="141">
        <f t="shared" si="0"/>
        <v>14</v>
      </c>
      <c r="B25" s="142" t="s">
        <v>45</v>
      </c>
      <c r="C25" s="142" t="s">
        <v>90</v>
      </c>
      <c r="D25" s="143">
        <f>65.65 +4.3</f>
        <v>69.95</v>
      </c>
      <c r="E25" s="379">
        <v>0.25</v>
      </c>
      <c r="F25" s="143">
        <f>65.65 +2.97</f>
        <v>68.62</v>
      </c>
      <c r="G25" s="421">
        <v>0.12</v>
      </c>
      <c r="H25" s="545">
        <f>65.65 +4.39</f>
        <v>70.040000000000006</v>
      </c>
      <c r="I25" s="373">
        <v>0.26500000000000001</v>
      </c>
      <c r="J25" s="321" t="s">
        <v>225</v>
      </c>
      <c r="K25" s="358"/>
      <c r="L25" s="515">
        <v>19</v>
      </c>
      <c r="M25" s="520">
        <v>1150.98</v>
      </c>
      <c r="N25" s="493">
        <v>1393</v>
      </c>
      <c r="O25" s="493">
        <v>1575</v>
      </c>
      <c r="P25" s="493">
        <v>1802.03</v>
      </c>
      <c r="Q25" s="493">
        <v>1657</v>
      </c>
      <c r="R25" s="493">
        <v>1726</v>
      </c>
      <c r="S25" s="493">
        <v>1653.57</v>
      </c>
      <c r="T25" s="493">
        <v>1430.06</v>
      </c>
      <c r="U25" s="493">
        <v>1182.797</v>
      </c>
      <c r="V25" s="493">
        <v>919.49</v>
      </c>
      <c r="W25" s="493">
        <v>815.78399999999999</v>
      </c>
      <c r="X25" s="521">
        <v>851.6</v>
      </c>
      <c r="Z25" s="358"/>
    </row>
    <row r="26" spans="1:30" ht="17.25" customHeight="1">
      <c r="A26" s="141">
        <f t="shared" si="0"/>
        <v>15</v>
      </c>
      <c r="B26" s="142" t="s">
        <v>46</v>
      </c>
      <c r="C26" s="142" t="s">
        <v>90</v>
      </c>
      <c r="D26" s="146">
        <v>5.21</v>
      </c>
      <c r="E26" s="379">
        <v>0.38500000000000001</v>
      </c>
      <c r="F26" s="404">
        <v>2.13</v>
      </c>
      <c r="G26" s="419">
        <v>0.04</v>
      </c>
      <c r="H26" s="550">
        <v>3.46</v>
      </c>
      <c r="I26" s="469">
        <v>0.14599999999999999</v>
      </c>
      <c r="J26" s="321" t="s">
        <v>215</v>
      </c>
      <c r="K26" s="358"/>
      <c r="L26" s="515">
        <v>20</v>
      </c>
      <c r="M26" s="520">
        <v>1159.47</v>
      </c>
      <c r="N26" s="493">
        <v>1410</v>
      </c>
      <c r="O26" s="493">
        <v>1588</v>
      </c>
      <c r="P26" s="493">
        <v>1792.384</v>
      </c>
      <c r="Q26" s="493">
        <v>1661.5</v>
      </c>
      <c r="R26" s="493">
        <v>1721.9</v>
      </c>
      <c r="S26" s="493">
        <v>1650.29</v>
      </c>
      <c r="T26" s="493">
        <v>1423</v>
      </c>
      <c r="U26" s="493">
        <v>1177.3440000000001</v>
      </c>
      <c r="V26" s="493">
        <v>913.74</v>
      </c>
      <c r="W26" s="493">
        <v>813.851</v>
      </c>
      <c r="X26" s="521">
        <v>861.9</v>
      </c>
      <c r="Z26" s="358"/>
    </row>
    <row r="27" spans="1:30" ht="17.25" customHeight="1">
      <c r="A27" s="141">
        <f t="shared" si="0"/>
        <v>16</v>
      </c>
      <c r="B27" s="142" t="s">
        <v>94</v>
      </c>
      <c r="C27" s="142" t="s">
        <v>47</v>
      </c>
      <c r="D27" s="143">
        <v>138.19999999999999</v>
      </c>
      <c r="E27" s="379">
        <v>440</v>
      </c>
      <c r="F27" s="404">
        <v>128.62</v>
      </c>
      <c r="G27" s="409">
        <v>87.217799999999997</v>
      </c>
      <c r="H27" s="547">
        <v>132.97999999999999</v>
      </c>
      <c r="I27" s="549">
        <v>224.179</v>
      </c>
      <c r="J27" s="321" t="s">
        <v>218</v>
      </c>
      <c r="K27" s="358"/>
      <c r="L27" s="516">
        <v>21</v>
      </c>
      <c r="M27" s="520">
        <v>1167.6500000000001</v>
      </c>
      <c r="N27" s="493">
        <v>1413</v>
      </c>
      <c r="O27" s="493">
        <v>1592</v>
      </c>
      <c r="P27" s="493">
        <v>1782.787</v>
      </c>
      <c r="Q27" s="493">
        <v>1674.9749999999999</v>
      </c>
      <c r="R27" s="493">
        <v>1726.2</v>
      </c>
      <c r="S27" s="493">
        <v>1646.36</v>
      </c>
      <c r="T27" s="493">
        <v>1420</v>
      </c>
      <c r="U27" s="493">
        <v>1169.374</v>
      </c>
      <c r="V27" s="493">
        <v>907.52</v>
      </c>
      <c r="W27" s="493">
        <v>814</v>
      </c>
      <c r="X27" s="521">
        <v>903.82</v>
      </c>
      <c r="Z27" s="358"/>
    </row>
    <row r="28" spans="1:30" ht="17.25" customHeight="1">
      <c r="A28" s="141">
        <f t="shared" si="0"/>
        <v>17</v>
      </c>
      <c r="B28" s="142" t="s">
        <v>48</v>
      </c>
      <c r="C28" s="142" t="s">
        <v>47</v>
      </c>
      <c r="D28" s="143">
        <v>113.5</v>
      </c>
      <c r="E28" s="379">
        <v>3.7519999999999998</v>
      </c>
      <c r="F28" s="404">
        <v>108.32</v>
      </c>
      <c r="G28" s="421">
        <v>1.554</v>
      </c>
      <c r="H28" s="548">
        <v>111</v>
      </c>
      <c r="I28" s="549">
        <v>2.5139999999999998</v>
      </c>
      <c r="J28" s="321" t="s">
        <v>218</v>
      </c>
      <c r="K28" s="358"/>
      <c r="L28" s="515">
        <v>22</v>
      </c>
      <c r="M28" s="520">
        <v>1190</v>
      </c>
      <c r="N28" s="493">
        <v>1410</v>
      </c>
      <c r="O28" s="493">
        <v>1600</v>
      </c>
      <c r="P28" s="493">
        <v>1774.0229999999999</v>
      </c>
      <c r="Q28" s="493">
        <v>1678.4390000000001</v>
      </c>
      <c r="R28" s="493">
        <v>1736.6</v>
      </c>
      <c r="S28" s="493">
        <v>1643.24</v>
      </c>
      <c r="T28" s="493">
        <v>1412</v>
      </c>
      <c r="U28" s="493">
        <v>1159.9259999999999</v>
      </c>
      <c r="V28" s="493">
        <v>905.16700000000003</v>
      </c>
      <c r="W28" s="493">
        <v>813.42700000000002</v>
      </c>
      <c r="X28" s="521">
        <v>917.47900000000004</v>
      </c>
      <c r="Z28" s="358"/>
    </row>
    <row r="29" spans="1:30" ht="21" customHeight="1">
      <c r="A29" s="141">
        <f t="shared" si="0"/>
        <v>18</v>
      </c>
      <c r="B29" s="142" t="s">
        <v>49</v>
      </c>
      <c r="C29" s="142" t="s">
        <v>47</v>
      </c>
      <c r="D29" s="143">
        <v>225.4</v>
      </c>
      <c r="E29" s="380">
        <v>1.2</v>
      </c>
      <c r="F29" s="404">
        <v>222.4</v>
      </c>
      <c r="G29" s="421">
        <v>0.17399999999999999</v>
      </c>
      <c r="H29" s="550">
        <v>225.3</v>
      </c>
      <c r="I29" s="598">
        <v>0.56200000000000006</v>
      </c>
      <c r="J29" s="321" t="s">
        <v>219</v>
      </c>
      <c r="K29" s="358"/>
      <c r="L29" s="515">
        <v>23</v>
      </c>
      <c r="M29" s="520">
        <v>1217</v>
      </c>
      <c r="N29" s="493">
        <v>1416</v>
      </c>
      <c r="O29" s="493">
        <v>1603</v>
      </c>
      <c r="P29" s="493">
        <v>1772.17</v>
      </c>
      <c r="Q29" s="493">
        <v>1679.1410000000001</v>
      </c>
      <c r="R29" s="493">
        <v>1731.6</v>
      </c>
      <c r="S29" s="493">
        <v>1641.46</v>
      </c>
      <c r="T29" s="493">
        <v>1406</v>
      </c>
      <c r="U29" s="493">
        <v>1150.8440000000001</v>
      </c>
      <c r="V29" s="493">
        <v>897.827</v>
      </c>
      <c r="W29" s="493">
        <v>807.8</v>
      </c>
      <c r="X29" s="521">
        <v>955.08600000000001</v>
      </c>
      <c r="Z29" s="358"/>
      <c r="AD29" s="494"/>
    </row>
    <row r="30" spans="1:30" ht="21" customHeight="1">
      <c r="A30" s="141">
        <f t="shared" si="0"/>
        <v>19</v>
      </c>
      <c r="B30" s="142" t="s">
        <v>50</v>
      </c>
      <c r="C30" s="142" t="s">
        <v>47</v>
      </c>
      <c r="D30" s="143">
        <v>224</v>
      </c>
      <c r="E30" s="379">
        <v>0.65100000000000002</v>
      </c>
      <c r="F30" s="404">
        <v>216.9</v>
      </c>
      <c r="G30" s="421">
        <v>0.115</v>
      </c>
      <c r="H30" s="548">
        <v>221.3</v>
      </c>
      <c r="I30" s="599">
        <v>0.372</v>
      </c>
      <c r="J30" s="321" t="s">
        <v>220</v>
      </c>
      <c r="K30" s="358"/>
      <c r="L30" s="515">
        <v>24</v>
      </c>
      <c r="M30" s="520">
        <v>1241</v>
      </c>
      <c r="N30" s="493">
        <v>1431</v>
      </c>
      <c r="O30" s="493">
        <v>1600</v>
      </c>
      <c r="P30" s="493">
        <v>1770</v>
      </c>
      <c r="Q30" s="493">
        <v>1677.2380000000001</v>
      </c>
      <c r="R30" s="493">
        <v>1720.5</v>
      </c>
      <c r="S30" s="493">
        <v>1637.38</v>
      </c>
      <c r="T30" s="493">
        <v>1401</v>
      </c>
      <c r="U30" s="493">
        <v>1146</v>
      </c>
      <c r="V30" s="493">
        <v>893.279</v>
      </c>
      <c r="W30" s="493">
        <v>799.81299999999999</v>
      </c>
      <c r="X30" s="521">
        <v>990.5</v>
      </c>
      <c r="Z30" s="358"/>
      <c r="AD30" s="494"/>
    </row>
    <row r="31" spans="1:30" ht="21" customHeight="1">
      <c r="A31" s="141">
        <f t="shared" si="0"/>
        <v>20</v>
      </c>
      <c r="B31" s="142" t="s">
        <v>51</v>
      </c>
      <c r="C31" s="142" t="s">
        <v>47</v>
      </c>
      <c r="D31" s="143">
        <v>196</v>
      </c>
      <c r="E31" s="379">
        <v>1.5820000000000001</v>
      </c>
      <c r="F31" s="404">
        <v>192.4</v>
      </c>
      <c r="G31" s="421">
        <v>0.95499999999999996</v>
      </c>
      <c r="H31" s="548">
        <v>195.93</v>
      </c>
      <c r="I31" s="549">
        <v>1.57</v>
      </c>
      <c r="J31" s="321" t="s">
        <v>218</v>
      </c>
      <c r="K31" s="358"/>
      <c r="L31" s="515">
        <v>25</v>
      </c>
      <c r="M31" s="520">
        <v>1262</v>
      </c>
      <c r="N31" s="493">
        <v>1440</v>
      </c>
      <c r="O31" s="493">
        <v>1597</v>
      </c>
      <c r="P31" s="493">
        <v>1767</v>
      </c>
      <c r="Q31" s="493">
        <v>1679.5519999999999</v>
      </c>
      <c r="R31" s="493">
        <v>1716</v>
      </c>
      <c r="S31" s="493">
        <v>1622.68</v>
      </c>
      <c r="T31" s="493">
        <v>1397</v>
      </c>
      <c r="U31" s="493">
        <v>1138.54</v>
      </c>
      <c r="V31" s="493">
        <v>887.87400000000002</v>
      </c>
      <c r="W31" s="493">
        <v>793.18100000000004</v>
      </c>
      <c r="X31" s="521">
        <v>1009.186</v>
      </c>
      <c r="Z31" s="358"/>
      <c r="AD31" s="494"/>
    </row>
    <row r="32" spans="1:30" ht="21" customHeight="1" thickBot="1">
      <c r="A32" s="150">
        <f t="shared" si="0"/>
        <v>21</v>
      </c>
      <c r="B32" s="151" t="s">
        <v>52</v>
      </c>
      <c r="C32" s="151" t="s">
        <v>47</v>
      </c>
      <c r="D32" s="152">
        <v>174</v>
      </c>
      <c r="E32" s="381">
        <v>0.47899999999999998</v>
      </c>
      <c r="F32" s="422">
        <v>171.8</v>
      </c>
      <c r="G32" s="423">
        <v>2.1000000000000001E-2</v>
      </c>
      <c r="H32" s="551">
        <v>173.65</v>
      </c>
      <c r="I32" s="600">
        <v>0.20899999999999999</v>
      </c>
      <c r="J32" s="321" t="s">
        <v>218</v>
      </c>
      <c r="K32" s="358"/>
      <c r="L32" s="516">
        <v>26</v>
      </c>
      <c r="M32" s="520">
        <v>1275</v>
      </c>
      <c r="N32" s="493">
        <v>1434</v>
      </c>
      <c r="O32" s="493">
        <v>1593</v>
      </c>
      <c r="P32" s="493">
        <v>1760.6</v>
      </c>
      <c r="Q32" s="493">
        <v>1680.1420000000001</v>
      </c>
      <c r="R32" s="493">
        <v>1708.6</v>
      </c>
      <c r="S32" s="493">
        <v>1631.05</v>
      </c>
      <c r="T32" s="493">
        <v>1389</v>
      </c>
      <c r="U32" s="493">
        <v>1131.5999999999999</v>
      </c>
      <c r="V32" s="493">
        <v>882.18100000000004</v>
      </c>
      <c r="W32" s="493">
        <v>784</v>
      </c>
      <c r="X32" s="521">
        <v>1025.48</v>
      </c>
      <c r="Z32" s="358"/>
      <c r="AD32" s="494"/>
    </row>
    <row r="33" spans="1:39" ht="21" customHeight="1">
      <c r="A33" s="138">
        <f t="shared" si="0"/>
        <v>22</v>
      </c>
      <c r="B33" s="139" t="s">
        <v>53</v>
      </c>
      <c r="C33" s="139" t="s">
        <v>47</v>
      </c>
      <c r="D33" s="140">
        <v>229.1</v>
      </c>
      <c r="E33" s="378">
        <v>0.79200000000000004</v>
      </c>
      <c r="F33" s="424">
        <v>219.35</v>
      </c>
      <c r="G33" s="425">
        <v>0.10199999999999999</v>
      </c>
      <c r="H33" s="552">
        <v>221.7</v>
      </c>
      <c r="I33" s="601">
        <v>0.20599999999999999</v>
      </c>
      <c r="J33" s="369" t="s">
        <v>218</v>
      </c>
      <c r="K33" s="358"/>
      <c r="L33" s="515">
        <v>27</v>
      </c>
      <c r="M33" s="520">
        <v>1286</v>
      </c>
      <c r="N33" s="493">
        <v>1437</v>
      </c>
      <c r="O33" s="493">
        <v>1594</v>
      </c>
      <c r="P33" s="493">
        <v>1758</v>
      </c>
      <c r="Q33" s="493">
        <v>1682</v>
      </c>
      <c r="R33" s="493">
        <v>1698.4</v>
      </c>
      <c r="S33" s="493">
        <v>1626.32</v>
      </c>
      <c r="T33" s="493">
        <v>1389.2750000000001</v>
      </c>
      <c r="U33" s="493">
        <v>1119</v>
      </c>
      <c r="V33" s="493">
        <v>875.21</v>
      </c>
      <c r="W33" s="493">
        <v>779</v>
      </c>
      <c r="X33" s="521">
        <v>1030.154</v>
      </c>
      <c r="Z33" s="358"/>
      <c r="AD33" s="494"/>
    </row>
    <row r="34" spans="1:39" ht="16.5" customHeight="1">
      <c r="A34" s="141">
        <f t="shared" si="0"/>
        <v>23</v>
      </c>
      <c r="B34" s="142" t="s">
        <v>54</v>
      </c>
      <c r="C34" s="142" t="s">
        <v>47</v>
      </c>
      <c r="D34" s="143">
        <v>249</v>
      </c>
      <c r="E34" s="379">
        <v>2.1240000000000001</v>
      </c>
      <c r="F34" s="404">
        <v>241.28</v>
      </c>
      <c r="G34" s="421">
        <v>0.58799999999999997</v>
      </c>
      <c r="H34" s="548">
        <v>0.246</v>
      </c>
      <c r="I34" s="599">
        <v>1.2250000000000001</v>
      </c>
      <c r="J34" s="321" t="s">
        <v>221</v>
      </c>
      <c r="K34" s="358"/>
      <c r="L34" s="515">
        <v>28</v>
      </c>
      <c r="M34" s="520">
        <v>1292</v>
      </c>
      <c r="N34" s="493">
        <v>1458</v>
      </c>
      <c r="O34" s="493">
        <v>1592</v>
      </c>
      <c r="P34" s="493">
        <v>1751</v>
      </c>
      <c r="Q34" s="493">
        <v>1676.8</v>
      </c>
      <c r="R34" s="493">
        <v>1691.4</v>
      </c>
      <c r="S34" s="493">
        <v>1610.04</v>
      </c>
      <c r="T34" s="493">
        <v>1389.491</v>
      </c>
      <c r="U34" s="493">
        <v>1109.9000000000001</v>
      </c>
      <c r="V34" s="493">
        <v>874.971</v>
      </c>
      <c r="W34" s="493">
        <v>779</v>
      </c>
      <c r="X34" s="521">
        <v>1030.2539999999999</v>
      </c>
      <c r="Z34" s="358"/>
      <c r="AD34" s="494"/>
    </row>
    <row r="35" spans="1:39" ht="17.25" customHeight="1">
      <c r="A35" s="141">
        <f t="shared" si="0"/>
        <v>24</v>
      </c>
      <c r="B35" s="142" t="s">
        <v>55</v>
      </c>
      <c r="C35" s="142" t="s">
        <v>95</v>
      </c>
      <c r="D35" s="143">
        <v>164.75</v>
      </c>
      <c r="E35" s="380">
        <v>5</v>
      </c>
      <c r="F35" s="404">
        <v>154.51</v>
      </c>
      <c r="G35" s="421">
        <v>0.54700000000000004</v>
      </c>
      <c r="H35" s="547">
        <v>156.55000000000001</v>
      </c>
      <c r="I35" s="599">
        <v>1.129</v>
      </c>
      <c r="J35" s="321" t="s">
        <v>218</v>
      </c>
      <c r="K35" s="358"/>
      <c r="L35" s="515">
        <v>29</v>
      </c>
      <c r="M35" s="520">
        <v>1229</v>
      </c>
      <c r="N35" s="495"/>
      <c r="O35" s="493">
        <v>1595</v>
      </c>
      <c r="P35" s="493">
        <v>1745.56</v>
      </c>
      <c r="Q35" s="493">
        <v>1677</v>
      </c>
      <c r="R35" s="493">
        <v>1687.45</v>
      </c>
      <c r="S35" s="493">
        <v>1593</v>
      </c>
      <c r="T35" s="493">
        <v>1378.5</v>
      </c>
      <c r="U35" s="493">
        <v>1098</v>
      </c>
      <c r="V35" s="493">
        <v>885.005</v>
      </c>
      <c r="W35" s="493">
        <v>772</v>
      </c>
      <c r="X35" s="521">
        <v>1028.6769999999999</v>
      </c>
      <c r="Z35" s="358"/>
      <c r="AD35" s="494"/>
    </row>
    <row r="36" spans="1:39" ht="17.25" customHeight="1">
      <c r="A36" s="141">
        <f t="shared" si="0"/>
        <v>25</v>
      </c>
      <c r="B36" s="142" t="s">
        <v>56</v>
      </c>
      <c r="C36" s="142" t="s">
        <v>95</v>
      </c>
      <c r="D36" s="143">
        <v>179.1</v>
      </c>
      <c r="E36" s="379">
        <v>4.2</v>
      </c>
      <c r="F36" s="426">
        <v>169.51</v>
      </c>
      <c r="G36" s="420">
        <v>0.58299999999999996</v>
      </c>
      <c r="H36" s="547">
        <v>174.62</v>
      </c>
      <c r="I36" s="549">
        <v>1.9330000000000001</v>
      </c>
      <c r="J36" s="321" t="s">
        <v>218</v>
      </c>
      <c r="K36" s="358"/>
      <c r="L36" s="515">
        <v>30</v>
      </c>
      <c r="M36" s="520">
        <v>1216</v>
      </c>
      <c r="N36" s="496"/>
      <c r="O36" s="493">
        <v>1605.65</v>
      </c>
      <c r="P36" s="493">
        <v>1739</v>
      </c>
      <c r="Q36" s="493">
        <v>1681.7</v>
      </c>
      <c r="R36" s="493">
        <v>1683.4</v>
      </c>
      <c r="S36" s="493">
        <v>1585</v>
      </c>
      <c r="T36" s="493">
        <v>1370.712</v>
      </c>
      <c r="U36" s="493">
        <v>1087.1199999999999</v>
      </c>
      <c r="V36" s="493">
        <v>877.85400000000004</v>
      </c>
      <c r="W36" s="493">
        <v>764</v>
      </c>
      <c r="X36" s="521">
        <v>1027.288</v>
      </c>
      <c r="Z36" s="358"/>
      <c r="AD36" s="494"/>
    </row>
    <row r="37" spans="1:39" ht="17.25" customHeight="1">
      <c r="A37" s="141">
        <f t="shared" si="0"/>
        <v>26</v>
      </c>
      <c r="B37" s="142" t="s">
        <v>57</v>
      </c>
      <c r="C37" s="142" t="s">
        <v>96</v>
      </c>
      <c r="D37" s="143">
        <v>326.56</v>
      </c>
      <c r="E37" s="379">
        <v>0.70099999999999996</v>
      </c>
      <c r="F37" s="407">
        <v>321.93</v>
      </c>
      <c r="G37" s="406">
        <v>0.36299999999999999</v>
      </c>
      <c r="H37" s="548">
        <v>325.56</v>
      </c>
      <c r="I37" s="599">
        <v>0.70099999999999996</v>
      </c>
      <c r="J37" s="321" t="s">
        <v>218</v>
      </c>
      <c r="K37" s="358"/>
      <c r="L37" s="515">
        <v>31</v>
      </c>
      <c r="M37" s="520">
        <v>1230</v>
      </c>
      <c r="N37" s="496"/>
      <c r="O37" s="493">
        <v>1617</v>
      </c>
      <c r="P37" s="496"/>
      <c r="Q37" s="493">
        <v>1687</v>
      </c>
      <c r="R37" s="496"/>
      <c r="S37" s="493">
        <v>1570</v>
      </c>
      <c r="T37" s="493">
        <v>1361</v>
      </c>
      <c r="U37" s="496"/>
      <c r="V37" s="493">
        <v>886.02</v>
      </c>
      <c r="W37" s="496"/>
      <c r="X37" s="521">
        <v>1019</v>
      </c>
      <c r="Z37" s="358"/>
      <c r="AD37" s="494"/>
    </row>
    <row r="38" spans="1:39" ht="16.5" customHeight="1" thickBot="1">
      <c r="A38" s="141">
        <f t="shared" si="0"/>
        <v>27</v>
      </c>
      <c r="B38" s="142" t="s">
        <v>58</v>
      </c>
      <c r="C38" s="142" t="s">
        <v>96</v>
      </c>
      <c r="D38" s="143">
        <v>129.19999999999999</v>
      </c>
      <c r="E38" s="379">
        <v>0.5</v>
      </c>
      <c r="F38" s="404">
        <v>125.29</v>
      </c>
      <c r="G38" s="421">
        <v>0.12</v>
      </c>
      <c r="H38" s="548">
        <v>127.65</v>
      </c>
      <c r="I38" s="549">
        <v>0.34499999999999997</v>
      </c>
      <c r="J38" s="321" t="s">
        <v>221</v>
      </c>
      <c r="K38" s="358"/>
      <c r="L38" s="383"/>
      <c r="M38" s="522"/>
      <c r="N38" s="523"/>
      <c r="O38" s="523"/>
      <c r="P38" s="523"/>
      <c r="Q38" s="523"/>
      <c r="R38" s="523"/>
      <c r="S38" s="523"/>
      <c r="T38" s="523"/>
      <c r="U38" s="523"/>
      <c r="V38" s="523"/>
      <c r="W38" s="523"/>
      <c r="X38" s="524"/>
      <c r="Z38" s="358"/>
      <c r="AD38" s="494"/>
    </row>
    <row r="39" spans="1:39" ht="21" customHeight="1">
      <c r="A39" s="141">
        <f t="shared" si="0"/>
        <v>28</v>
      </c>
      <c r="B39" s="142" t="s">
        <v>59</v>
      </c>
      <c r="C39" s="142" t="s">
        <v>96</v>
      </c>
      <c r="D39" s="143">
        <v>282.76</v>
      </c>
      <c r="E39" s="379">
        <v>0.51300000000000001</v>
      </c>
      <c r="F39" s="404">
        <v>277.62</v>
      </c>
      <c r="G39" s="421">
        <v>6.4000000000000001E-2</v>
      </c>
      <c r="H39" s="550">
        <v>282.77999999999997</v>
      </c>
      <c r="I39" s="549">
        <v>0.51300000000000001</v>
      </c>
      <c r="J39" s="321" t="s">
        <v>218</v>
      </c>
      <c r="K39" s="358"/>
      <c r="L39" s="534" t="s">
        <v>188</v>
      </c>
      <c r="M39" s="525">
        <f t="shared" ref="M39:X39" si="1">IF(M43&gt;$BU$63,"tad",IF(M45&gt;$BU$63,"tad",MAX(M7:M37)))</f>
        <v>1292</v>
      </c>
      <c r="N39" s="526">
        <f t="shared" si="1"/>
        <v>1458</v>
      </c>
      <c r="O39" s="541">
        <f>IF(O43&gt;$BU$63,"tad",IF(O45&gt;$BU$63,"tad",MAX(O7:O37)))</f>
        <v>1617</v>
      </c>
      <c r="P39" s="542">
        <f t="shared" si="1"/>
        <v>1802.03</v>
      </c>
      <c r="Q39" s="526">
        <f t="shared" si="1"/>
        <v>1735</v>
      </c>
      <c r="R39" s="526">
        <f t="shared" si="1"/>
        <v>1736.6</v>
      </c>
      <c r="S39" s="526">
        <f t="shared" si="1"/>
        <v>1689</v>
      </c>
      <c r="T39" s="526">
        <f t="shared" si="1"/>
        <v>1560</v>
      </c>
      <c r="U39" s="526">
        <f t="shared" si="1"/>
        <v>1370</v>
      </c>
      <c r="V39" s="526">
        <f t="shared" si="1"/>
        <v>1087.08</v>
      </c>
      <c r="W39" s="526">
        <f t="shared" si="1"/>
        <v>865.47900000000004</v>
      </c>
      <c r="X39" s="527">
        <f t="shared" si="1"/>
        <v>1030.2539999999999</v>
      </c>
      <c r="Z39" s="358"/>
      <c r="AD39" s="494"/>
    </row>
    <row r="40" spans="1:39" ht="21" customHeight="1">
      <c r="A40" s="141">
        <f t="shared" si="0"/>
        <v>29</v>
      </c>
      <c r="B40" s="142" t="s">
        <v>60</v>
      </c>
      <c r="C40" s="142" t="s">
        <v>96</v>
      </c>
      <c r="D40" s="143">
        <v>99</v>
      </c>
      <c r="E40" s="379">
        <v>2.6110000000000002</v>
      </c>
      <c r="F40" s="404">
        <v>96.61</v>
      </c>
      <c r="G40" s="421">
        <v>1.3460000000000001</v>
      </c>
      <c r="H40" s="548">
        <v>97.83</v>
      </c>
      <c r="I40" s="599">
        <v>2</v>
      </c>
      <c r="J40" s="321" t="s">
        <v>218</v>
      </c>
      <c r="K40" s="358"/>
      <c r="L40" s="535" t="s">
        <v>189</v>
      </c>
      <c r="M40" s="528">
        <f t="shared" ref="M40:X40" si="2">IF(M43&gt;$BU$63,"tad",IF(M45&gt;$BU$63,"tad",AVERAGE(M7:M37)))</f>
        <v>1175.662</v>
      </c>
      <c r="N40" s="502">
        <f t="shared" si="2"/>
        <v>1374.25</v>
      </c>
      <c r="O40" s="502">
        <f>IF(O43&gt;$BU$63,"tad",IF(O45&gt;$BU$63,"tad",AVERAGE(O7:O37)))</f>
        <v>1546.117741935484</v>
      </c>
      <c r="P40" s="502">
        <f t="shared" si="2"/>
        <v>1730.5885999999996</v>
      </c>
      <c r="Q40" s="502">
        <f t="shared" si="2"/>
        <v>1686.8815161290322</v>
      </c>
      <c r="R40" s="502">
        <f t="shared" si="2"/>
        <v>1699.6486666666667</v>
      </c>
      <c r="S40" s="502">
        <f t="shared" si="2"/>
        <v>1651.9075483870968</v>
      </c>
      <c r="T40" s="502">
        <f t="shared" si="2"/>
        <v>1452.0409032258062</v>
      </c>
      <c r="U40" s="502">
        <f t="shared" si="2"/>
        <v>1227.7109666666668</v>
      </c>
      <c r="V40" s="502">
        <f t="shared" si="2"/>
        <v>954.69570967741959</v>
      </c>
      <c r="W40" s="502">
        <f t="shared" si="2"/>
        <v>809.73463333333314</v>
      </c>
      <c r="X40" s="529">
        <f t="shared" si="2"/>
        <v>853.2442903225807</v>
      </c>
      <c r="Z40" s="358"/>
      <c r="AD40" s="494"/>
    </row>
    <row r="41" spans="1:39" ht="21" customHeight="1" thickBot="1">
      <c r="A41" s="141">
        <f t="shared" si="0"/>
        <v>30</v>
      </c>
      <c r="B41" s="142" t="s">
        <v>61</v>
      </c>
      <c r="C41" s="142" t="s">
        <v>96</v>
      </c>
      <c r="D41" s="143">
        <v>189.7</v>
      </c>
      <c r="E41" s="380">
        <v>0.08</v>
      </c>
      <c r="F41" s="404">
        <v>187.84</v>
      </c>
      <c r="G41" s="421">
        <v>2.1000000000000001E-2</v>
      </c>
      <c r="H41" s="548">
        <v>189.7</v>
      </c>
      <c r="I41" s="599">
        <v>0.08</v>
      </c>
      <c r="J41" s="321" t="s">
        <v>221</v>
      </c>
      <c r="K41" s="358"/>
      <c r="L41" s="536" t="s">
        <v>191</v>
      </c>
      <c r="M41" s="530">
        <f t="shared" ref="M41:X41" si="3">IF(M43&gt;$BU$63,"tad",IF(M45&gt;$BU$63,"tad",MIN(M7:M37)))</f>
        <v>954.81</v>
      </c>
      <c r="N41" s="531">
        <f t="shared" si="3"/>
        <v>1300</v>
      </c>
      <c r="O41" s="531">
        <f t="shared" si="3"/>
        <v>1457</v>
      </c>
      <c r="P41" s="531">
        <f t="shared" si="3"/>
        <v>1622.7</v>
      </c>
      <c r="Q41" s="531">
        <f t="shared" si="3"/>
        <v>1657</v>
      </c>
      <c r="R41" s="531">
        <f t="shared" si="3"/>
        <v>1672</v>
      </c>
      <c r="S41" s="531">
        <f t="shared" si="3"/>
        <v>1570</v>
      </c>
      <c r="T41" s="531">
        <f t="shared" si="3"/>
        <v>1361</v>
      </c>
      <c r="U41" s="531">
        <f t="shared" si="3"/>
        <v>1087.1199999999999</v>
      </c>
      <c r="V41" s="531">
        <f t="shared" si="3"/>
        <v>874.971</v>
      </c>
      <c r="W41" s="532">
        <f t="shared" si="3"/>
        <v>764</v>
      </c>
      <c r="X41" s="533">
        <f t="shared" si="3"/>
        <v>741.89599999999996</v>
      </c>
      <c r="Z41" s="358"/>
      <c r="AD41" s="494"/>
    </row>
    <row r="42" spans="1:39" ht="21" customHeight="1">
      <c r="A42" s="141">
        <f t="shared" si="0"/>
        <v>31</v>
      </c>
      <c r="B42" s="142" t="s">
        <v>62</v>
      </c>
      <c r="C42" s="142" t="s">
        <v>96</v>
      </c>
      <c r="D42" s="143">
        <v>171.16</v>
      </c>
      <c r="E42" s="379">
        <v>9.6000000000000002E-2</v>
      </c>
      <c r="F42" s="402">
        <v>168.41</v>
      </c>
      <c r="G42" s="403">
        <v>0.03</v>
      </c>
      <c r="H42" s="548">
        <v>171.46</v>
      </c>
      <c r="I42" s="599">
        <v>0.10299999999999999</v>
      </c>
      <c r="J42" s="321" t="s">
        <v>218</v>
      </c>
      <c r="K42" s="358"/>
      <c r="L42" s="534" t="s">
        <v>193</v>
      </c>
      <c r="M42" s="525">
        <f t="shared" ref="M42:X42" si="4">IF(M43&gt;$BU$63,"tad",AVERAGE(M7:M21))</f>
        <v>1133.8568</v>
      </c>
      <c r="N42" s="526">
        <f t="shared" si="4"/>
        <v>1338.9333333333334</v>
      </c>
      <c r="O42" s="526">
        <f t="shared" si="4"/>
        <v>1499.1333333333334</v>
      </c>
      <c r="P42" s="526">
        <f t="shared" si="4"/>
        <v>1695.9266666666665</v>
      </c>
      <c r="Q42" s="526">
        <f t="shared" si="4"/>
        <v>1700.9893333333334</v>
      </c>
      <c r="R42" s="526">
        <f t="shared" si="4"/>
        <v>1686.3686666666667</v>
      </c>
      <c r="S42" s="526">
        <f t="shared" si="4"/>
        <v>1675.568933333333</v>
      </c>
      <c r="T42" s="526">
        <f t="shared" si="4"/>
        <v>1502.1226666666664</v>
      </c>
      <c r="U42" s="526">
        <f t="shared" si="4"/>
        <v>1300.9373333333335</v>
      </c>
      <c r="V42" s="526">
        <f t="shared" si="4"/>
        <v>1011.6248666666667</v>
      </c>
      <c r="W42" s="526">
        <f t="shared" si="4"/>
        <v>822.45553333333328</v>
      </c>
      <c r="X42" s="527">
        <f t="shared" si="4"/>
        <v>755.2245999999999</v>
      </c>
      <c r="Z42" s="358"/>
      <c r="AD42" s="494"/>
    </row>
    <row r="43" spans="1:39" ht="21" customHeight="1" thickBot="1">
      <c r="A43" s="141">
        <f t="shared" si="0"/>
        <v>32</v>
      </c>
      <c r="B43" s="142" t="s">
        <v>63</v>
      </c>
      <c r="C43" s="142" t="s">
        <v>97</v>
      </c>
      <c r="D43" s="143">
        <v>142.6</v>
      </c>
      <c r="E43" s="379">
        <v>9.157</v>
      </c>
      <c r="F43" s="404">
        <v>139.6</v>
      </c>
      <c r="G43" s="409">
        <v>2.036</v>
      </c>
      <c r="H43" s="545">
        <v>140.03</v>
      </c>
      <c r="I43" s="602">
        <v>2.78</v>
      </c>
      <c r="J43" s="321" t="s">
        <v>218</v>
      </c>
      <c r="K43" s="358"/>
      <c r="L43" s="383" t="s">
        <v>195</v>
      </c>
      <c r="M43" s="530">
        <f t="shared" ref="M43:X43" si="5">IF(AB52&gt;0,AB52,0)</f>
        <v>0</v>
      </c>
      <c r="N43" s="531">
        <f t="shared" si="5"/>
        <v>0</v>
      </c>
      <c r="O43" s="531">
        <f t="shared" si="5"/>
        <v>0</v>
      </c>
      <c r="P43" s="531">
        <f t="shared" si="5"/>
        <v>0</v>
      </c>
      <c r="Q43" s="531">
        <f t="shared" si="5"/>
        <v>0</v>
      </c>
      <c r="R43" s="531">
        <f t="shared" si="5"/>
        <v>0</v>
      </c>
      <c r="S43" s="531">
        <f t="shared" si="5"/>
        <v>0</v>
      </c>
      <c r="T43" s="531">
        <f t="shared" si="5"/>
        <v>0</v>
      </c>
      <c r="U43" s="531">
        <f t="shared" si="5"/>
        <v>0</v>
      </c>
      <c r="V43" s="531">
        <f t="shared" si="5"/>
        <v>0</v>
      </c>
      <c r="W43" s="531">
        <f t="shared" si="5"/>
        <v>0</v>
      </c>
      <c r="X43" s="533">
        <f t="shared" si="5"/>
        <v>0</v>
      </c>
      <c r="Z43" s="358"/>
      <c r="AD43" s="494"/>
    </row>
    <row r="44" spans="1:39" ht="21" customHeight="1">
      <c r="A44" s="141">
        <f t="shared" si="0"/>
        <v>33</v>
      </c>
      <c r="B44" s="142" t="s">
        <v>64</v>
      </c>
      <c r="C44" s="142" t="s">
        <v>97</v>
      </c>
      <c r="D44" s="143">
        <v>239.5</v>
      </c>
      <c r="E44" s="379">
        <v>2.6720000000000002</v>
      </c>
      <c r="F44" s="404">
        <v>235.56</v>
      </c>
      <c r="G44" s="419">
        <v>0.80300000000000005</v>
      </c>
      <c r="H44" s="545">
        <v>235.9</v>
      </c>
      <c r="I44" s="602">
        <v>0.90900000000000003</v>
      </c>
      <c r="J44" s="321" t="s">
        <v>218</v>
      </c>
      <c r="K44" s="358"/>
      <c r="L44" s="534" t="s">
        <v>197</v>
      </c>
      <c r="M44" s="525">
        <f t="shared" ref="M44:X44" si="6">IF(M45&gt;$BU$63,"tad",AVERAGE(M22:M37))</f>
        <v>1214.8543749999999</v>
      </c>
      <c r="N44" s="526">
        <f t="shared" si="6"/>
        <v>1415</v>
      </c>
      <c r="O44" s="526">
        <f t="shared" si="6"/>
        <v>1590.1656250000001</v>
      </c>
      <c r="P44" s="526">
        <f t="shared" si="6"/>
        <v>1765.2505333333331</v>
      </c>
      <c r="Q44" s="526">
        <f t="shared" si="6"/>
        <v>1673.6554375000001</v>
      </c>
      <c r="R44" s="526">
        <f t="shared" si="6"/>
        <v>1712.9286666666669</v>
      </c>
      <c r="S44" s="526">
        <f t="shared" si="6"/>
        <v>1629.7250000000001</v>
      </c>
      <c r="T44" s="526">
        <f t="shared" si="6"/>
        <v>1405.08925</v>
      </c>
      <c r="U44" s="526">
        <f t="shared" si="6"/>
        <v>1154.4846</v>
      </c>
      <c r="V44" s="526">
        <f t="shared" si="6"/>
        <v>901.32462499999997</v>
      </c>
      <c r="W44" s="526">
        <f t="shared" si="6"/>
        <v>797.01373333333333</v>
      </c>
      <c r="X44" s="527">
        <f t="shared" si="6"/>
        <v>945.1377500000001</v>
      </c>
      <c r="Z44" s="358"/>
      <c r="AD44" s="494"/>
    </row>
    <row r="45" spans="1:39" ht="21" customHeight="1" thickBot="1">
      <c r="A45" s="141">
        <f t="shared" si="0"/>
        <v>34</v>
      </c>
      <c r="B45" s="142" t="s">
        <v>65</v>
      </c>
      <c r="C45" s="142" t="s">
        <v>98</v>
      </c>
      <c r="D45" s="143">
        <v>120.5</v>
      </c>
      <c r="E45" s="379">
        <v>3.677</v>
      </c>
      <c r="F45" s="404">
        <v>118.83</v>
      </c>
      <c r="G45" s="421">
        <v>0.94399999999999995</v>
      </c>
      <c r="H45" s="547">
        <v>120.46</v>
      </c>
      <c r="I45" s="549">
        <v>3.601</v>
      </c>
      <c r="J45" s="321" t="s">
        <v>221</v>
      </c>
      <c r="K45" s="358"/>
      <c r="L45" s="383" t="s">
        <v>195</v>
      </c>
      <c r="M45" s="530">
        <f t="shared" ref="M45:X45" si="7">IF(AB55&gt;0,AB55,0)</f>
        <v>0</v>
      </c>
      <c r="N45" s="531">
        <f t="shared" si="7"/>
        <v>0</v>
      </c>
      <c r="O45" s="531">
        <f t="shared" si="7"/>
        <v>0</v>
      </c>
      <c r="P45" s="531">
        <f t="shared" si="7"/>
        <v>0</v>
      </c>
      <c r="Q45" s="531">
        <f t="shared" si="7"/>
        <v>0</v>
      </c>
      <c r="R45" s="531">
        <f t="shared" si="7"/>
        <v>0</v>
      </c>
      <c r="S45" s="531">
        <f t="shared" si="7"/>
        <v>0</v>
      </c>
      <c r="T45" s="531">
        <f t="shared" si="7"/>
        <v>0</v>
      </c>
      <c r="U45" s="531">
        <f t="shared" si="7"/>
        <v>0</v>
      </c>
      <c r="V45" s="531">
        <f t="shared" si="7"/>
        <v>0</v>
      </c>
      <c r="W45" s="531">
        <f t="shared" si="7"/>
        <v>0</v>
      </c>
      <c r="X45" s="533">
        <f t="shared" si="7"/>
        <v>0</v>
      </c>
      <c r="Z45" s="358"/>
      <c r="AD45" s="81"/>
    </row>
    <row r="46" spans="1:39" ht="21" customHeight="1">
      <c r="A46" s="141">
        <f t="shared" si="0"/>
        <v>35</v>
      </c>
      <c r="B46" s="142" t="s">
        <v>66</v>
      </c>
      <c r="C46" s="142" t="s">
        <v>99</v>
      </c>
      <c r="D46" s="143">
        <v>110.56</v>
      </c>
      <c r="E46" s="379">
        <v>2.75</v>
      </c>
      <c r="F46" s="404">
        <v>108.27</v>
      </c>
      <c r="G46" s="421">
        <v>0.61799999999999999</v>
      </c>
      <c r="H46" s="547">
        <v>109.46</v>
      </c>
      <c r="I46" s="549">
        <v>1.282</v>
      </c>
      <c r="J46" s="321" t="s">
        <v>218</v>
      </c>
      <c r="K46" s="358"/>
      <c r="M46" s="505"/>
      <c r="N46" s="505"/>
      <c r="O46" s="505"/>
      <c r="P46" s="543">
        <f>P39/E50*100</f>
        <v>96.872812737541409</v>
      </c>
      <c r="Q46" s="505"/>
      <c r="R46" s="505"/>
      <c r="S46" s="505"/>
      <c r="T46" s="505"/>
      <c r="U46" s="505"/>
      <c r="V46" s="505"/>
      <c r="W46" s="505"/>
      <c r="X46" s="505"/>
      <c r="Z46" s="358"/>
      <c r="AD46" s="81"/>
    </row>
    <row r="47" spans="1:39" ht="21" customHeight="1">
      <c r="A47" s="141">
        <f t="shared" si="0"/>
        <v>36</v>
      </c>
      <c r="B47" s="142" t="s">
        <v>67</v>
      </c>
      <c r="C47" s="142" t="s">
        <v>100</v>
      </c>
      <c r="D47" s="143">
        <v>72</v>
      </c>
      <c r="E47" s="379">
        <v>38.036000000000001</v>
      </c>
      <c r="F47" s="402">
        <v>53.4</v>
      </c>
      <c r="G47" s="403">
        <v>6.88</v>
      </c>
      <c r="H47" s="561">
        <v>68.349999999999994</v>
      </c>
      <c r="I47" s="379">
        <v>29.584</v>
      </c>
      <c r="J47" s="321" t="s">
        <v>67</v>
      </c>
      <c r="K47" s="358"/>
      <c r="Z47" s="358"/>
    </row>
    <row r="48" spans="1:39" ht="21" customHeight="1">
      <c r="A48" s="141">
        <f t="shared" si="0"/>
        <v>37</v>
      </c>
      <c r="B48" s="142" t="s">
        <v>68</v>
      </c>
      <c r="C48" s="142" t="s">
        <v>100</v>
      </c>
      <c r="D48" s="143">
        <v>185</v>
      </c>
      <c r="E48" s="379">
        <v>412.66</v>
      </c>
      <c r="F48" s="402">
        <v>165</v>
      </c>
      <c r="G48" s="403">
        <v>199.78399999999999</v>
      </c>
      <c r="H48" s="545">
        <v>173.54</v>
      </c>
      <c r="I48" s="379">
        <v>276.41660000000002</v>
      </c>
      <c r="J48" s="321" t="s">
        <v>222</v>
      </c>
      <c r="K48" s="358"/>
      <c r="Z48" s="358"/>
      <c r="AB48" s="196" t="s">
        <v>172</v>
      </c>
      <c r="AC48" s="196" t="s">
        <v>173</v>
      </c>
      <c r="AD48" s="196" t="s">
        <v>174</v>
      </c>
      <c r="AE48" s="196" t="s">
        <v>175</v>
      </c>
      <c r="AF48" s="196" t="s">
        <v>183</v>
      </c>
      <c r="AG48" s="196" t="s">
        <v>176</v>
      </c>
      <c r="AH48" s="196" t="s">
        <v>177</v>
      </c>
      <c r="AI48" s="196" t="s">
        <v>184</v>
      </c>
      <c r="AJ48" s="196" t="s">
        <v>179</v>
      </c>
      <c r="AK48" s="196" t="s">
        <v>185</v>
      </c>
      <c r="AL48" s="196" t="s">
        <v>186</v>
      </c>
      <c r="AM48" s="196" t="s">
        <v>187</v>
      </c>
    </row>
    <row r="49" spans="1:39" ht="21" customHeight="1" thickBot="1">
      <c r="A49" s="150">
        <v>38</v>
      </c>
      <c r="B49" s="151" t="s">
        <v>69</v>
      </c>
      <c r="C49" s="151" t="s">
        <v>101</v>
      </c>
      <c r="D49" s="152">
        <v>231</v>
      </c>
      <c r="E49" s="381">
        <v>31.8</v>
      </c>
      <c r="F49" s="410">
        <v>228.07</v>
      </c>
      <c r="G49" s="411">
        <v>8.4499999999999993</v>
      </c>
      <c r="H49" s="562">
        <v>230.1</v>
      </c>
      <c r="I49" s="381">
        <v>18.350000000000001</v>
      </c>
      <c r="J49" s="321" t="s">
        <v>223</v>
      </c>
      <c r="K49" s="358"/>
      <c r="Z49" s="501">
        <f>MAX(M7:X37)</f>
        <v>1802.03</v>
      </c>
      <c r="AB49">
        <v>31</v>
      </c>
      <c r="AC49">
        <v>28</v>
      </c>
      <c r="AD49">
        <v>31</v>
      </c>
      <c r="AE49">
        <v>30</v>
      </c>
      <c r="AF49">
        <v>31</v>
      </c>
      <c r="AG49">
        <v>30</v>
      </c>
      <c r="AH49">
        <v>31</v>
      </c>
      <c r="AI49">
        <v>31</v>
      </c>
      <c r="AJ49">
        <v>30</v>
      </c>
      <c r="AK49">
        <v>31</v>
      </c>
      <c r="AL49">
        <v>30</v>
      </c>
      <c r="AM49">
        <v>31</v>
      </c>
    </row>
    <row r="50" spans="1:39" ht="17.100000000000001" customHeight="1" thickBot="1">
      <c r="A50" s="154"/>
      <c r="B50" s="155" t="s">
        <v>70</v>
      </c>
      <c r="C50" s="155"/>
      <c r="D50" s="156"/>
      <c r="E50" s="157">
        <f>SUM(E12:E49)</f>
        <v>1860.202</v>
      </c>
      <c r="F50" s="412"/>
      <c r="G50" s="470">
        <f>SUM(G12:G49)</f>
        <v>661.43280000000004</v>
      </c>
      <c r="H50" s="553"/>
      <c r="I50" s="470">
        <f>SUM(I12:I49)</f>
        <v>1027.2876000000001</v>
      </c>
      <c r="J50" s="158">
        <f>+I50-G50</f>
        <v>365.85480000000007</v>
      </c>
      <c r="K50" s="358"/>
      <c r="Z50" s="358"/>
      <c r="AA50" s="37" t="s">
        <v>190</v>
      </c>
      <c r="AB50">
        <v>15</v>
      </c>
      <c r="AC50">
        <v>15</v>
      </c>
      <c r="AD50">
        <v>15</v>
      </c>
      <c r="AE50">
        <v>15</v>
      </c>
      <c r="AF50">
        <v>15</v>
      </c>
      <c r="AG50">
        <v>15</v>
      </c>
      <c r="AH50">
        <v>15</v>
      </c>
      <c r="AI50">
        <v>15</v>
      </c>
      <c r="AJ50">
        <v>15</v>
      </c>
      <c r="AK50">
        <v>15</v>
      </c>
      <c r="AL50">
        <v>15</v>
      </c>
      <c r="AM50">
        <v>15</v>
      </c>
    </row>
    <row r="51" spans="1:39" ht="17.100000000000001" customHeight="1" thickBot="1">
      <c r="A51" s="159" t="s">
        <v>71</v>
      </c>
      <c r="B51" s="155" t="s">
        <v>72</v>
      </c>
      <c r="C51" s="155"/>
      <c r="D51" s="156"/>
      <c r="E51" s="157"/>
      <c r="F51" s="427"/>
      <c r="G51" s="578">
        <v>1</v>
      </c>
      <c r="H51" s="553"/>
      <c r="I51" s="471">
        <f>+I50/G50</f>
        <v>1.553124671168409</v>
      </c>
      <c r="J51" s="160">
        <f>+I51-G51</f>
        <v>0.55312467116840902</v>
      </c>
      <c r="K51" s="358"/>
      <c r="Z51" s="358"/>
      <c r="AA51" s="81" t="s">
        <v>192</v>
      </c>
      <c r="AB51" s="81">
        <f t="shared" ref="AB51:AM51" si="8">COUNT(M7:M21)</f>
        <v>15</v>
      </c>
      <c r="AC51" s="81">
        <f t="shared" si="8"/>
        <v>15</v>
      </c>
      <c r="AD51" s="81">
        <f t="shared" si="8"/>
        <v>15</v>
      </c>
      <c r="AE51" s="81">
        <f t="shared" si="8"/>
        <v>15</v>
      </c>
      <c r="AF51" s="81">
        <f t="shared" si="8"/>
        <v>15</v>
      </c>
      <c r="AG51" s="81">
        <f t="shared" si="8"/>
        <v>15</v>
      </c>
      <c r="AH51" s="81">
        <f t="shared" si="8"/>
        <v>15</v>
      </c>
      <c r="AI51" s="81">
        <f t="shared" si="8"/>
        <v>15</v>
      </c>
      <c r="AJ51" s="81">
        <f t="shared" si="8"/>
        <v>15</v>
      </c>
      <c r="AK51" s="81">
        <f t="shared" si="8"/>
        <v>15</v>
      </c>
      <c r="AL51" s="81">
        <f t="shared" si="8"/>
        <v>15</v>
      </c>
      <c r="AM51" s="81">
        <f t="shared" si="8"/>
        <v>15</v>
      </c>
    </row>
    <row r="52" spans="1:39" ht="16.5" thickBot="1">
      <c r="A52" s="200" t="s">
        <v>102</v>
      </c>
      <c r="B52" s="199"/>
      <c r="C52" s="198"/>
      <c r="D52" s="162"/>
      <c r="E52" s="163">
        <v>1</v>
      </c>
      <c r="F52" s="429" t="s">
        <v>71</v>
      </c>
      <c r="G52" s="472">
        <f>+G50/E50*100%</f>
        <v>0.35557041654616006</v>
      </c>
      <c r="H52" s="484"/>
      <c r="I52" s="472">
        <f>+I50/E50</f>
        <v>0.55224518627546904</v>
      </c>
      <c r="J52" s="160">
        <f>+I52-E52</f>
        <v>-0.44775481372453096</v>
      </c>
      <c r="K52" s="472"/>
      <c r="Z52" s="503">
        <f>COUNT(M42:X42)</f>
        <v>12</v>
      </c>
      <c r="AA52" t="s">
        <v>194</v>
      </c>
      <c r="AB52">
        <f t="shared" ref="AB52:AM52" si="9">AB50-AB51</f>
        <v>0</v>
      </c>
      <c r="AC52">
        <f t="shared" si="9"/>
        <v>0</v>
      </c>
      <c r="AD52">
        <f t="shared" si="9"/>
        <v>0</v>
      </c>
      <c r="AE52">
        <f t="shared" si="9"/>
        <v>0</v>
      </c>
      <c r="AF52">
        <f t="shared" si="9"/>
        <v>0</v>
      </c>
      <c r="AG52">
        <f t="shared" si="9"/>
        <v>0</v>
      </c>
      <c r="AH52">
        <f t="shared" si="9"/>
        <v>0</v>
      </c>
      <c r="AI52">
        <f t="shared" si="9"/>
        <v>0</v>
      </c>
      <c r="AJ52">
        <f t="shared" si="9"/>
        <v>0</v>
      </c>
      <c r="AK52">
        <f t="shared" si="9"/>
        <v>0</v>
      </c>
      <c r="AL52">
        <f t="shared" si="9"/>
        <v>0</v>
      </c>
      <c r="AM52">
        <f t="shared" si="9"/>
        <v>0</v>
      </c>
    </row>
    <row r="53" spans="1:39" ht="15.75">
      <c r="A53" s="486" t="s">
        <v>164</v>
      </c>
      <c r="B53" s="162"/>
      <c r="C53" s="162"/>
      <c r="D53" s="162"/>
      <c r="E53" s="162"/>
      <c r="F53" s="377"/>
      <c r="G53" s="579"/>
      <c r="H53" s="484"/>
      <c r="I53" s="473"/>
      <c r="J53" s="165"/>
      <c r="K53" s="389"/>
      <c r="Z53" s="503"/>
      <c r="AA53" s="37" t="s">
        <v>196</v>
      </c>
      <c r="AB53">
        <v>16</v>
      </c>
      <c r="AC53">
        <v>13</v>
      </c>
      <c r="AD53">
        <v>16</v>
      </c>
      <c r="AE53">
        <v>15</v>
      </c>
      <c r="AF53">
        <v>16</v>
      </c>
      <c r="AG53">
        <v>15</v>
      </c>
      <c r="AH53">
        <v>16</v>
      </c>
      <c r="AI53">
        <v>16</v>
      </c>
      <c r="AJ53">
        <v>15</v>
      </c>
      <c r="AK53">
        <v>16</v>
      </c>
      <c r="AL53">
        <v>15</v>
      </c>
      <c r="AM53">
        <v>16</v>
      </c>
    </row>
    <row r="54" spans="1:39" ht="15.75">
      <c r="A54" s="487" t="s">
        <v>166</v>
      </c>
      <c r="B54" s="162"/>
      <c r="C54" s="162"/>
      <c r="D54" s="162"/>
      <c r="E54" s="164">
        <f>+F55/E50*100</f>
        <v>0.30593451678903694</v>
      </c>
      <c r="F54" s="377"/>
      <c r="G54" s="579"/>
      <c r="H54" s="484"/>
      <c r="I54" s="473"/>
      <c r="J54" s="165"/>
      <c r="K54" s="389"/>
      <c r="Z54" s="503">
        <f>COUNT(M44:X44)</f>
        <v>12</v>
      </c>
      <c r="AA54" s="81" t="s">
        <v>192</v>
      </c>
      <c r="AB54" s="81">
        <f t="shared" ref="AB54:AM54" si="10">COUNT(M22:M37)</f>
        <v>16</v>
      </c>
      <c r="AC54" s="81">
        <f t="shared" si="10"/>
        <v>13</v>
      </c>
      <c r="AD54" s="81">
        <f t="shared" si="10"/>
        <v>16</v>
      </c>
      <c r="AE54" s="81">
        <f t="shared" si="10"/>
        <v>15</v>
      </c>
      <c r="AF54" s="81">
        <f t="shared" si="10"/>
        <v>16</v>
      </c>
      <c r="AG54" s="81">
        <f t="shared" si="10"/>
        <v>15</v>
      </c>
      <c r="AH54" s="81">
        <f t="shared" si="10"/>
        <v>16</v>
      </c>
      <c r="AI54" s="81">
        <f t="shared" si="10"/>
        <v>16</v>
      </c>
      <c r="AJ54" s="81">
        <f t="shared" si="10"/>
        <v>15</v>
      </c>
      <c r="AK54" s="81">
        <f t="shared" si="10"/>
        <v>16</v>
      </c>
      <c r="AL54" s="81">
        <f t="shared" si="10"/>
        <v>15</v>
      </c>
      <c r="AM54" s="81">
        <f t="shared" si="10"/>
        <v>16</v>
      </c>
    </row>
    <row r="55" spans="1:39" ht="15.75">
      <c r="A55" s="488" t="s">
        <v>167</v>
      </c>
      <c r="B55" s="162"/>
      <c r="C55" s="162"/>
      <c r="D55" s="162"/>
      <c r="E55" s="162"/>
      <c r="F55" s="430">
        <f>+G42+G41+G40+G39+G38+G37+G35+G34+G33+G32+G31+G29+G26+G20+G19</f>
        <v>5.6910000000000007</v>
      </c>
      <c r="G55" s="579">
        <f>+G53/G50*100</f>
        <v>0</v>
      </c>
      <c r="H55" s="484" t="s">
        <v>71</v>
      </c>
      <c r="I55" s="473" t="s">
        <v>71</v>
      </c>
      <c r="J55" s="165"/>
      <c r="K55" s="389"/>
      <c r="Z55" s="358"/>
      <c r="AA55" t="s">
        <v>194</v>
      </c>
      <c r="AB55">
        <f t="shared" ref="AB55:AM55" si="11">AB53-AB54</f>
        <v>0</v>
      </c>
      <c r="AC55">
        <f t="shared" si="11"/>
        <v>0</v>
      </c>
      <c r="AD55">
        <f t="shared" si="11"/>
        <v>0</v>
      </c>
      <c r="AE55">
        <f t="shared" si="11"/>
        <v>0</v>
      </c>
      <c r="AF55">
        <f t="shared" si="11"/>
        <v>0</v>
      </c>
      <c r="AG55">
        <f t="shared" si="11"/>
        <v>0</v>
      </c>
      <c r="AH55">
        <f t="shared" si="11"/>
        <v>0</v>
      </c>
      <c r="AI55">
        <f t="shared" si="11"/>
        <v>0</v>
      </c>
      <c r="AJ55">
        <f t="shared" si="11"/>
        <v>0</v>
      </c>
      <c r="AK55">
        <f t="shared" si="11"/>
        <v>0</v>
      </c>
      <c r="AL55">
        <f t="shared" si="11"/>
        <v>0</v>
      </c>
      <c r="AM55">
        <f t="shared" si="11"/>
        <v>0</v>
      </c>
    </row>
    <row r="56" spans="1:39" ht="15.75">
      <c r="A56" s="176"/>
      <c r="B56" s="176"/>
      <c r="C56" s="201"/>
      <c r="D56" s="176"/>
      <c r="E56" s="176"/>
      <c r="F56" s="431"/>
      <c r="G56" s="580"/>
      <c r="H56" s="554"/>
      <c r="I56" s="474"/>
      <c r="J56" s="177"/>
      <c r="K56" s="389"/>
      <c r="Z56" s="358"/>
    </row>
    <row r="57" spans="1:39" ht="21.75">
      <c r="A57" s="237"/>
      <c r="B57" s="236"/>
      <c r="C57" s="236"/>
      <c r="D57" s="236"/>
      <c r="E57" s="236"/>
      <c r="F57" s="376"/>
      <c r="G57" s="475"/>
      <c r="H57" s="475"/>
      <c r="I57" s="475"/>
      <c r="J57" s="236"/>
      <c r="K57" s="389"/>
      <c r="Z57" s="358"/>
      <c r="AB57" s="499" t="s">
        <v>198</v>
      </c>
      <c r="AC57" s="506"/>
      <c r="AD57" s="500">
        <f>IF((Z52+Z54)&lt;24,"tad",AVERAGE(M40:X40))</f>
        <v>1346.8735480286739</v>
      </c>
      <c r="AE57" s="507" t="s">
        <v>199</v>
      </c>
      <c r="AF57" s="490"/>
    </row>
    <row r="58" spans="1:39" ht="21.75" customHeight="1">
      <c r="A58" s="237"/>
      <c r="B58" s="236"/>
      <c r="C58" s="236"/>
      <c r="D58" s="236"/>
      <c r="E58" s="236"/>
      <c r="F58" s="376"/>
      <c r="G58" s="376"/>
      <c r="H58" s="475"/>
      <c r="I58" s="475"/>
      <c r="J58" s="236"/>
      <c r="K58" s="389"/>
      <c r="Z58" s="358"/>
      <c r="AB58" s="497"/>
      <c r="AC58" s="81"/>
      <c r="AD58" s="498" t="e">
        <f>IF(AD57="tad","tad",+AD57*365*24*3.6/$G$9)</f>
        <v>#VALUE!</v>
      </c>
      <c r="AE58" s="508" t="s">
        <v>200</v>
      </c>
    </row>
    <row r="59" spans="1:39" ht="21.75">
      <c r="A59" s="238"/>
      <c r="B59" s="238"/>
      <c r="C59" s="238"/>
      <c r="D59" s="238"/>
      <c r="E59" s="238"/>
      <c r="F59" s="413"/>
      <c r="G59" s="413"/>
      <c r="H59" s="476"/>
      <c r="I59" s="476"/>
      <c r="J59" s="238"/>
      <c r="K59" s="389"/>
      <c r="Z59" s="358"/>
      <c r="AB59" s="497" t="s">
        <v>201</v>
      </c>
      <c r="AC59" s="81"/>
      <c r="AD59" s="502">
        <f>IF((Z52+Z54)&lt;24,"tad",MAX(M39:X39))</f>
        <v>1802.03</v>
      </c>
      <c r="AE59" s="508" t="s">
        <v>199</v>
      </c>
    </row>
    <row r="60" spans="1:39" ht="21.75">
      <c r="A60" s="166"/>
      <c r="B60" s="166"/>
      <c r="C60" s="166"/>
      <c r="D60" s="166"/>
      <c r="E60" s="166"/>
      <c r="F60" s="414"/>
      <c r="G60" s="414"/>
      <c r="H60" s="477"/>
      <c r="I60" s="477"/>
      <c r="J60" s="166"/>
      <c r="K60" s="389"/>
      <c r="Z60" s="358"/>
      <c r="AB60" s="497" t="s">
        <v>191</v>
      </c>
      <c r="AC60" s="81"/>
      <c r="AD60" s="502">
        <f>IF((Z52+Z54)&lt;24,"tad",MIN(M41:X41))</f>
        <v>741.89599999999996</v>
      </c>
      <c r="AE60" s="508" t="s">
        <v>199</v>
      </c>
    </row>
    <row r="61" spans="1:39" ht="13.5" thickBot="1">
      <c r="A61" s="167"/>
      <c r="B61" s="167"/>
      <c r="C61" s="167"/>
      <c r="D61" s="167"/>
      <c r="E61" s="167"/>
      <c r="F61" s="415"/>
      <c r="G61" s="415"/>
      <c r="H61" s="478"/>
      <c r="I61" s="478"/>
      <c r="J61" s="167"/>
      <c r="K61" s="389"/>
      <c r="Z61" s="358"/>
      <c r="AB61" s="504" t="s">
        <v>202</v>
      </c>
      <c r="AC61" s="491"/>
      <c r="AD61" s="509">
        <f>SUM(M45:X45)+SUM(M43:X43)</f>
        <v>0</v>
      </c>
      <c r="AE61" s="492" t="s">
        <v>203</v>
      </c>
    </row>
    <row r="62" spans="1:39" ht="15.75">
      <c r="A62" s="605" t="s">
        <v>20</v>
      </c>
      <c r="B62" s="608" t="s">
        <v>21</v>
      </c>
      <c r="C62" s="608" t="s">
        <v>85</v>
      </c>
      <c r="D62" s="231" t="s">
        <v>22</v>
      </c>
      <c r="E62" s="232"/>
      <c r="F62" s="394" t="s">
        <v>23</v>
      </c>
      <c r="G62" s="395"/>
      <c r="H62" s="555" t="s">
        <v>24</v>
      </c>
      <c r="I62" s="479"/>
      <c r="J62" s="387"/>
      <c r="K62" s="389"/>
      <c r="Z62" s="358"/>
    </row>
    <row r="63" spans="1:39" ht="15.75">
      <c r="A63" s="606"/>
      <c r="B63" s="609"/>
      <c r="C63" s="609"/>
      <c r="D63" s="4" t="s">
        <v>26</v>
      </c>
      <c r="E63" s="4" t="s">
        <v>27</v>
      </c>
      <c r="F63" s="396" t="s">
        <v>26</v>
      </c>
      <c r="G63" s="397" t="s">
        <v>27</v>
      </c>
      <c r="H63" s="556" t="s">
        <v>26</v>
      </c>
      <c r="I63" s="480" t="s">
        <v>27</v>
      </c>
      <c r="J63" s="388"/>
      <c r="K63" s="389"/>
      <c r="Z63" s="358"/>
      <c r="AB63" t="s">
        <v>204</v>
      </c>
      <c r="AH63" t="e">
        <f>+#REF!</f>
        <v>#REF!</v>
      </c>
      <c r="AI63" t="s">
        <v>205</v>
      </c>
    </row>
    <row r="64" spans="1:39" ht="19.5" thickBot="1">
      <c r="A64" s="607"/>
      <c r="B64" s="610"/>
      <c r="C64" s="610"/>
      <c r="D64" s="2" t="s">
        <v>28</v>
      </c>
      <c r="E64" s="2" t="s">
        <v>29</v>
      </c>
      <c r="F64" s="398" t="s">
        <v>28</v>
      </c>
      <c r="G64" s="399" t="s">
        <v>29</v>
      </c>
      <c r="H64" s="557" t="s">
        <v>28</v>
      </c>
      <c r="I64" s="481" t="s">
        <v>29</v>
      </c>
      <c r="J64" s="388"/>
      <c r="K64" s="389"/>
      <c r="Z64" s="358"/>
    </row>
    <row r="65" spans="1:29" ht="16.5" thickBot="1">
      <c r="A65" s="70">
        <v>1</v>
      </c>
      <c r="B65" s="21">
        <v>2</v>
      </c>
      <c r="C65" s="21">
        <v>3</v>
      </c>
      <c r="D65" s="21">
        <v>4</v>
      </c>
      <c r="E65" s="21">
        <v>5</v>
      </c>
      <c r="F65" s="400">
        <v>6</v>
      </c>
      <c r="G65" s="400">
        <v>7</v>
      </c>
      <c r="H65" s="467">
        <v>8</v>
      </c>
      <c r="I65" s="482">
        <v>9</v>
      </c>
      <c r="J65" s="436"/>
      <c r="K65" s="389"/>
      <c r="Z65" s="358"/>
    </row>
    <row r="66" spans="1:29" ht="15.75" customHeight="1">
      <c r="A66" s="138">
        <v>1</v>
      </c>
      <c r="B66" s="139" t="s">
        <v>31</v>
      </c>
      <c r="C66" s="139" t="s">
        <v>86</v>
      </c>
      <c r="D66" s="140">
        <v>55.75</v>
      </c>
      <c r="E66" s="355">
        <v>37.046999999999997</v>
      </c>
      <c r="F66" s="417">
        <v>53.24</v>
      </c>
      <c r="G66" s="401">
        <v>21.414000000000001</v>
      </c>
      <c r="H66" s="544">
        <v>50.72</v>
      </c>
      <c r="I66" s="569">
        <v>8.9619999999999997</v>
      </c>
      <c r="J66" s="560" t="s">
        <v>228</v>
      </c>
      <c r="L66" s="253" t="s">
        <v>169</v>
      </c>
      <c r="Z66" s="358"/>
      <c r="AA66" s="510">
        <f>DATE(M3,1,1)</f>
        <v>1</v>
      </c>
      <c r="AB66">
        <f t="shared" ref="AB66:AB96" si="12">IF(M7="tad","tad",M7)</f>
        <v>954.81</v>
      </c>
      <c r="AC66">
        <f t="shared" ref="AC66:AC129" si="13">IF(COUNT(AA66:AB66)=2,0,-Z$49/500)</f>
        <v>0</v>
      </c>
    </row>
    <row r="67" spans="1:29" ht="15.75" customHeight="1">
      <c r="A67" s="141">
        <f>+A66+1</f>
        <v>2</v>
      </c>
      <c r="B67" s="142" t="s">
        <v>32</v>
      </c>
      <c r="C67" s="142" t="s">
        <v>86</v>
      </c>
      <c r="D67" s="143">
        <v>339.5</v>
      </c>
      <c r="E67" s="356">
        <v>7.77</v>
      </c>
      <c r="F67" s="418">
        <v>338.77</v>
      </c>
      <c r="G67" s="403">
        <v>7.157</v>
      </c>
      <c r="H67" s="545">
        <v>339.48</v>
      </c>
      <c r="I67" s="570">
        <v>7.7549999999999999</v>
      </c>
      <c r="J67" s="321"/>
      <c r="M67" t="s">
        <v>170</v>
      </c>
      <c r="W67" s="171" t="e">
        <f>+#REF!&amp;"  hari"</f>
        <v>#REF!</v>
      </c>
      <c r="Z67" s="358"/>
      <c r="AA67" s="510">
        <f t="shared" ref="AA67:AA130" si="14">AA66+1</f>
        <v>2</v>
      </c>
      <c r="AB67">
        <f t="shared" si="12"/>
        <v>977.36699999999996</v>
      </c>
      <c r="AC67">
        <f t="shared" si="13"/>
        <v>0</v>
      </c>
    </row>
    <row r="68" spans="1:29" ht="15.75" customHeight="1">
      <c r="A68" s="141">
        <f t="shared" ref="A68:A102" si="15">+A67+1</f>
        <v>3</v>
      </c>
      <c r="B68" s="142" t="s">
        <v>33</v>
      </c>
      <c r="C68" s="142" t="s">
        <v>87</v>
      </c>
      <c r="D68" s="143">
        <v>77.5</v>
      </c>
      <c r="E68" s="356">
        <v>49.02</v>
      </c>
      <c r="F68" s="402">
        <v>73.650000000000006</v>
      </c>
      <c r="G68" s="403">
        <v>27.367000000000001</v>
      </c>
      <c r="H68" s="545">
        <v>72.97</v>
      </c>
      <c r="I68" s="570">
        <v>24.16</v>
      </c>
      <c r="J68" s="321"/>
      <c r="M68" t="s">
        <v>206</v>
      </c>
      <c r="Z68" s="358"/>
      <c r="AA68" s="510">
        <f t="shared" si="14"/>
        <v>3</v>
      </c>
      <c r="AB68">
        <f t="shared" si="12"/>
        <v>1019</v>
      </c>
      <c r="AC68">
        <f t="shared" si="13"/>
        <v>0</v>
      </c>
    </row>
    <row r="69" spans="1:29" ht="15.75" customHeight="1">
      <c r="A69" s="141">
        <f t="shared" si="15"/>
        <v>4</v>
      </c>
      <c r="B69" s="142" t="s">
        <v>34</v>
      </c>
      <c r="C69" s="142" t="s">
        <v>88</v>
      </c>
      <c r="D69" s="143">
        <v>463.3</v>
      </c>
      <c r="E69" s="356">
        <v>49.9</v>
      </c>
      <c r="F69" s="404">
        <v>461.79</v>
      </c>
      <c r="G69" s="419">
        <v>21.04</v>
      </c>
      <c r="H69" s="546">
        <v>461.65</v>
      </c>
      <c r="I69" s="577">
        <v>18.8</v>
      </c>
      <c r="J69" s="318"/>
      <c r="Z69" s="358"/>
      <c r="AA69" s="510">
        <f t="shared" si="14"/>
        <v>4</v>
      </c>
      <c r="AB69">
        <f t="shared" si="12"/>
        <v>1055</v>
      </c>
      <c r="AC69">
        <f t="shared" si="13"/>
        <v>0</v>
      </c>
    </row>
    <row r="70" spans="1:29" ht="15.75" customHeight="1">
      <c r="A70" s="141">
        <f t="shared" si="15"/>
        <v>5</v>
      </c>
      <c r="B70" s="142" t="s">
        <v>35</v>
      </c>
      <c r="C70" s="142" t="s">
        <v>89</v>
      </c>
      <c r="D70" s="143">
        <v>207</v>
      </c>
      <c r="E70" s="356">
        <v>9.5030000000000001</v>
      </c>
      <c r="F70" s="404">
        <v>196.62</v>
      </c>
      <c r="G70" s="420">
        <v>3.0750000000000002</v>
      </c>
      <c r="H70" s="547">
        <v>199.77</v>
      </c>
      <c r="I70" s="589">
        <v>3.157</v>
      </c>
      <c r="J70" s="321"/>
      <c r="Z70" s="358"/>
      <c r="AA70" s="510">
        <f t="shared" si="14"/>
        <v>5</v>
      </c>
      <c r="AB70">
        <f t="shared" si="12"/>
        <v>1093</v>
      </c>
      <c r="AC70">
        <f t="shared" si="13"/>
        <v>0</v>
      </c>
    </row>
    <row r="71" spans="1:29" ht="15.75" customHeight="1">
      <c r="A71" s="141">
        <f t="shared" si="15"/>
        <v>6</v>
      </c>
      <c r="B71" s="142" t="s">
        <v>36</v>
      </c>
      <c r="C71" s="142" t="s">
        <v>89</v>
      </c>
      <c r="D71" s="143">
        <v>320</v>
      </c>
      <c r="E71" s="144">
        <v>5.1509999999999998</v>
      </c>
      <c r="F71" s="404">
        <v>311.66000000000003</v>
      </c>
      <c r="G71" s="420">
        <v>1.7130000000000001</v>
      </c>
      <c r="H71" s="592">
        <v>311.87</v>
      </c>
      <c r="I71" s="589">
        <v>1.7829999999999999</v>
      </c>
      <c r="J71" s="321"/>
      <c r="Z71" s="358"/>
      <c r="AA71" s="510">
        <f t="shared" si="14"/>
        <v>6</v>
      </c>
      <c r="AB71">
        <f t="shared" si="12"/>
        <v>1149</v>
      </c>
      <c r="AC71">
        <f t="shared" si="13"/>
        <v>0</v>
      </c>
    </row>
    <row r="72" spans="1:29" ht="15.75" customHeight="1">
      <c r="A72" s="141">
        <f t="shared" si="15"/>
        <v>7</v>
      </c>
      <c r="B72" s="142" t="s">
        <v>37</v>
      </c>
      <c r="C72" s="142" t="s">
        <v>90</v>
      </c>
      <c r="D72" s="143">
        <v>90</v>
      </c>
      <c r="E72" s="356">
        <v>723.16</v>
      </c>
      <c r="F72" s="404">
        <v>84.06</v>
      </c>
      <c r="G72" s="421">
        <v>485.46</v>
      </c>
      <c r="H72" s="545">
        <v>81.23</v>
      </c>
      <c r="I72" s="590">
        <v>384.69600000000003</v>
      </c>
      <c r="J72" s="318"/>
      <c r="Z72" s="358"/>
      <c r="AA72" s="510">
        <f t="shared" si="14"/>
        <v>7</v>
      </c>
      <c r="AB72">
        <f t="shared" si="12"/>
        <v>1199</v>
      </c>
      <c r="AC72">
        <f t="shared" si="13"/>
        <v>0</v>
      </c>
    </row>
    <row r="73" spans="1:29" ht="15.75" customHeight="1">
      <c r="A73" s="141">
        <f t="shared" si="15"/>
        <v>8</v>
      </c>
      <c r="B73" s="142" t="s">
        <v>38</v>
      </c>
      <c r="C73" s="142" t="s">
        <v>91</v>
      </c>
      <c r="D73" s="143">
        <v>120.5</v>
      </c>
      <c r="E73" s="144">
        <v>2.0920000000000001</v>
      </c>
      <c r="F73" s="404">
        <v>114.9</v>
      </c>
      <c r="G73" s="419">
        <v>0.28799999999999998</v>
      </c>
      <c r="H73" s="591">
        <v>115.54</v>
      </c>
      <c r="I73" s="589">
        <v>0.46200000000000002</v>
      </c>
      <c r="J73" s="321" t="s">
        <v>215</v>
      </c>
      <c r="Z73" s="358"/>
      <c r="AA73" s="510">
        <f t="shared" si="14"/>
        <v>8</v>
      </c>
      <c r="AB73">
        <f t="shared" si="12"/>
        <v>1187</v>
      </c>
      <c r="AC73">
        <f t="shared" si="13"/>
        <v>0</v>
      </c>
    </row>
    <row r="74" spans="1:29" ht="15.75" customHeight="1">
      <c r="A74" s="141">
        <f t="shared" si="15"/>
        <v>9</v>
      </c>
      <c r="B74" s="142" t="s">
        <v>39</v>
      </c>
      <c r="C74" s="142" t="s">
        <v>91</v>
      </c>
      <c r="D74" s="143">
        <v>120.8</v>
      </c>
      <c r="E74" s="144">
        <v>2.3530000000000002</v>
      </c>
      <c r="F74" s="404">
        <v>113.61</v>
      </c>
      <c r="G74" s="419">
        <v>0.35699999999999998</v>
      </c>
      <c r="H74" s="591">
        <v>119.33</v>
      </c>
      <c r="I74" s="589">
        <v>1.613</v>
      </c>
      <c r="J74" s="321" t="s">
        <v>215</v>
      </c>
      <c r="Z74" s="358"/>
      <c r="AA74" s="510">
        <f t="shared" si="14"/>
        <v>9</v>
      </c>
      <c r="AB74">
        <f t="shared" si="12"/>
        <v>1210</v>
      </c>
      <c r="AC74">
        <f t="shared" si="13"/>
        <v>0</v>
      </c>
    </row>
    <row r="75" spans="1:29" ht="15.75" customHeight="1">
      <c r="A75" s="141">
        <f t="shared" si="15"/>
        <v>10</v>
      </c>
      <c r="B75" s="142" t="s">
        <v>40</v>
      </c>
      <c r="C75" s="142" t="s">
        <v>92</v>
      </c>
      <c r="D75" s="146">
        <v>46.5</v>
      </c>
      <c r="E75" s="149">
        <v>4.5999999999999996</v>
      </c>
      <c r="F75" s="405">
        <v>43.1</v>
      </c>
      <c r="G75" s="408">
        <v>2.1640000000000001</v>
      </c>
      <c r="H75" s="592">
        <v>43.78</v>
      </c>
      <c r="I75" s="571">
        <v>2.5009999999999999</v>
      </c>
      <c r="J75" s="321" t="s">
        <v>216</v>
      </c>
      <c r="Z75" s="358"/>
      <c r="AA75" s="510">
        <f t="shared" si="14"/>
        <v>10</v>
      </c>
      <c r="AB75">
        <f t="shared" si="12"/>
        <v>1210</v>
      </c>
      <c r="AC75">
        <f t="shared" si="13"/>
        <v>0</v>
      </c>
    </row>
    <row r="76" spans="1:29" ht="15.75" customHeight="1">
      <c r="A76" s="141">
        <f t="shared" si="15"/>
        <v>11</v>
      </c>
      <c r="B76" s="142" t="s">
        <v>42</v>
      </c>
      <c r="C76" s="142" t="s">
        <v>92</v>
      </c>
      <c r="D76" s="143">
        <v>51.5</v>
      </c>
      <c r="E76" s="144">
        <v>2.4159999999999999</v>
      </c>
      <c r="F76" s="404">
        <v>46.86</v>
      </c>
      <c r="G76" s="421">
        <v>0.90600000000000003</v>
      </c>
      <c r="H76" s="592">
        <v>49.64</v>
      </c>
      <c r="I76" s="593">
        <v>1.96</v>
      </c>
      <c r="J76" s="321" t="s">
        <v>217</v>
      </c>
      <c r="Z76" s="358"/>
      <c r="AA76" s="510">
        <f t="shared" si="14"/>
        <v>11</v>
      </c>
      <c r="AB76">
        <f t="shared" si="12"/>
        <v>1200</v>
      </c>
      <c r="AC76">
        <f t="shared" si="13"/>
        <v>0</v>
      </c>
    </row>
    <row r="77" spans="1:29" ht="15.75" customHeight="1">
      <c r="A77" s="141">
        <f t="shared" si="15"/>
        <v>12</v>
      </c>
      <c r="B77" s="142" t="s">
        <v>43</v>
      </c>
      <c r="C77" s="142" t="s">
        <v>90</v>
      </c>
      <c r="D77" s="143">
        <f>71 +10</f>
        <v>81</v>
      </c>
      <c r="E77" s="144">
        <v>1.093</v>
      </c>
      <c r="F77" s="143">
        <f>71 +2.94</f>
        <v>73.94</v>
      </c>
      <c r="G77" s="419">
        <v>0.18</v>
      </c>
      <c r="H77" s="594">
        <f>71 +4.98</f>
        <v>75.98</v>
      </c>
      <c r="I77" s="593">
        <v>0.37</v>
      </c>
      <c r="J77" s="321" t="s">
        <v>215</v>
      </c>
      <c r="Z77" s="358"/>
      <c r="AA77" s="510">
        <f t="shared" si="14"/>
        <v>12</v>
      </c>
      <c r="AB77">
        <f t="shared" si="12"/>
        <v>1186</v>
      </c>
      <c r="AC77">
        <f t="shared" si="13"/>
        <v>0</v>
      </c>
    </row>
    <row r="78" spans="1:29" ht="15.75" customHeight="1">
      <c r="A78" s="141">
        <f t="shared" si="15"/>
        <v>13</v>
      </c>
      <c r="B78" s="142" t="s">
        <v>44</v>
      </c>
      <c r="C78" s="142" t="s">
        <v>90</v>
      </c>
      <c r="D78" s="143">
        <f>75.8+7</f>
        <v>82.8</v>
      </c>
      <c r="E78" s="144">
        <v>0.42899999999999999</v>
      </c>
      <c r="F78" s="143">
        <f>75.8+4.22</f>
        <v>80.02</v>
      </c>
      <c r="G78" s="419">
        <v>8.4000000000000005E-2</v>
      </c>
      <c r="H78" s="594">
        <f>75.8+6.72</f>
        <v>82.52</v>
      </c>
      <c r="I78" s="593">
        <v>0.38500000000000001</v>
      </c>
      <c r="J78" s="321" t="s">
        <v>225</v>
      </c>
      <c r="Z78" s="358"/>
      <c r="AA78" s="510">
        <f t="shared" si="14"/>
        <v>13</v>
      </c>
      <c r="AB78">
        <f t="shared" si="12"/>
        <v>1198</v>
      </c>
      <c r="AC78">
        <f t="shared" si="13"/>
        <v>0</v>
      </c>
    </row>
    <row r="79" spans="1:29" ht="15.75" customHeight="1">
      <c r="A79" s="141">
        <f t="shared" si="15"/>
        <v>14</v>
      </c>
      <c r="B79" s="142" t="s">
        <v>45</v>
      </c>
      <c r="C79" s="142" t="s">
        <v>90</v>
      </c>
      <c r="D79" s="143">
        <f>65.65 +4.3</f>
        <v>69.95</v>
      </c>
      <c r="E79" s="144">
        <v>0.25</v>
      </c>
      <c r="F79" s="143">
        <f>65.65 +2</f>
        <v>67.650000000000006</v>
      </c>
      <c r="G79" s="421">
        <v>4.9000000000000002E-2</v>
      </c>
      <c r="H79" s="594">
        <f>65.65 +4.39</f>
        <v>70.040000000000006</v>
      </c>
      <c r="I79" s="593">
        <v>0.26500000000000001</v>
      </c>
      <c r="J79" s="321" t="s">
        <v>225</v>
      </c>
      <c r="Z79" s="358"/>
      <c r="AA79" s="510">
        <f t="shared" si="14"/>
        <v>14</v>
      </c>
      <c r="AB79">
        <f t="shared" si="12"/>
        <v>1192</v>
      </c>
      <c r="AC79">
        <f t="shared" si="13"/>
        <v>0</v>
      </c>
    </row>
    <row r="80" spans="1:29" ht="15.75" customHeight="1">
      <c r="A80" s="141">
        <f t="shared" si="15"/>
        <v>15</v>
      </c>
      <c r="B80" s="142" t="s">
        <v>46</v>
      </c>
      <c r="C80" s="142" t="s">
        <v>90</v>
      </c>
      <c r="D80" s="146">
        <v>5.21</v>
      </c>
      <c r="E80" s="144">
        <v>0.38500000000000001</v>
      </c>
      <c r="F80" s="404">
        <v>1.1599999999999999</v>
      </c>
      <c r="G80" s="419">
        <v>0.09</v>
      </c>
      <c r="H80" s="595">
        <v>3.46</v>
      </c>
      <c r="I80" s="589">
        <v>0.14599999999999999</v>
      </c>
      <c r="J80" s="321" t="s">
        <v>215</v>
      </c>
      <c r="Z80" s="358"/>
      <c r="AA80" s="510">
        <f t="shared" si="14"/>
        <v>15</v>
      </c>
      <c r="AB80">
        <f t="shared" si="12"/>
        <v>1177.675</v>
      </c>
      <c r="AC80">
        <f t="shared" si="13"/>
        <v>0</v>
      </c>
    </row>
    <row r="81" spans="1:29" ht="15.75" customHeight="1">
      <c r="A81" s="141">
        <f t="shared" si="15"/>
        <v>16</v>
      </c>
      <c r="B81" s="142" t="s">
        <v>94</v>
      </c>
      <c r="C81" s="142" t="s">
        <v>47</v>
      </c>
      <c r="D81" s="143">
        <v>138.19999999999999</v>
      </c>
      <c r="E81" s="356">
        <v>440</v>
      </c>
      <c r="F81" s="404">
        <v>127.58</v>
      </c>
      <c r="G81" s="409">
        <v>66.882000000000005</v>
      </c>
      <c r="H81" s="547">
        <v>133.04</v>
      </c>
      <c r="I81" s="571">
        <v>226.446</v>
      </c>
      <c r="J81" s="321"/>
      <c r="Z81" s="358"/>
      <c r="AA81" s="510">
        <f t="shared" si="14"/>
        <v>16</v>
      </c>
      <c r="AB81">
        <f t="shared" si="12"/>
        <v>1185.29</v>
      </c>
      <c r="AC81">
        <f t="shared" si="13"/>
        <v>0</v>
      </c>
    </row>
    <row r="82" spans="1:29" ht="15.75" customHeight="1">
      <c r="A82" s="141">
        <f t="shared" si="15"/>
        <v>17</v>
      </c>
      <c r="B82" s="142" t="s">
        <v>48</v>
      </c>
      <c r="C82" s="142" t="s">
        <v>47</v>
      </c>
      <c r="D82" s="143">
        <v>113.5</v>
      </c>
      <c r="E82" s="144">
        <v>3.7519999999999998</v>
      </c>
      <c r="F82" s="568">
        <v>107.29</v>
      </c>
      <c r="G82" s="421">
        <v>1.2430000000000001</v>
      </c>
      <c r="H82" s="548">
        <v>111.06</v>
      </c>
      <c r="I82" s="571">
        <v>2.5379999999999998</v>
      </c>
      <c r="J82" s="321"/>
      <c r="Z82" s="358"/>
      <c r="AA82" s="510">
        <f t="shared" si="14"/>
        <v>17</v>
      </c>
      <c r="AB82">
        <f t="shared" si="12"/>
        <v>1176.56</v>
      </c>
      <c r="AC82">
        <f t="shared" si="13"/>
        <v>0</v>
      </c>
    </row>
    <row r="83" spans="1:29" ht="15.75" customHeight="1">
      <c r="A83" s="141">
        <f t="shared" si="15"/>
        <v>18</v>
      </c>
      <c r="B83" s="142" t="s">
        <v>49</v>
      </c>
      <c r="C83" s="142" t="s">
        <v>47</v>
      </c>
      <c r="D83" s="143">
        <v>225.4</v>
      </c>
      <c r="E83" s="148">
        <v>1.2</v>
      </c>
      <c r="F83" s="404">
        <v>222.8</v>
      </c>
      <c r="G83" s="421">
        <v>3.9E-2</v>
      </c>
      <c r="H83" s="550">
        <v>225.3</v>
      </c>
      <c r="I83" s="572">
        <v>0.56200000000000006</v>
      </c>
      <c r="J83" s="321"/>
      <c r="Z83" s="358"/>
      <c r="AA83" s="510">
        <f t="shared" si="14"/>
        <v>18</v>
      </c>
      <c r="AB83">
        <f t="shared" si="12"/>
        <v>1159.72</v>
      </c>
      <c r="AC83">
        <f t="shared" si="13"/>
        <v>0</v>
      </c>
    </row>
    <row r="84" spans="1:29" ht="15.75" customHeight="1">
      <c r="A84" s="141">
        <f t="shared" si="15"/>
        <v>19</v>
      </c>
      <c r="B84" s="142" t="s">
        <v>50</v>
      </c>
      <c r="C84" s="142" t="s">
        <v>47</v>
      </c>
      <c r="D84" s="143">
        <v>224</v>
      </c>
      <c r="E84" s="144">
        <v>0.65100000000000002</v>
      </c>
      <c r="F84" s="404">
        <v>215.95</v>
      </c>
      <c r="G84" s="421">
        <v>7.4999999999999997E-2</v>
      </c>
      <c r="H84" s="548">
        <v>221.25</v>
      </c>
      <c r="I84" s="573">
        <v>0.36799999999999999</v>
      </c>
      <c r="J84" s="321"/>
      <c r="Z84" s="358"/>
      <c r="AA84" s="510">
        <f t="shared" si="14"/>
        <v>19</v>
      </c>
      <c r="AB84">
        <f t="shared" si="12"/>
        <v>1150.98</v>
      </c>
      <c r="AC84">
        <f t="shared" si="13"/>
        <v>0</v>
      </c>
    </row>
    <row r="85" spans="1:29" ht="15.75" customHeight="1">
      <c r="A85" s="141">
        <f t="shared" si="15"/>
        <v>20</v>
      </c>
      <c r="B85" s="142" t="s">
        <v>51</v>
      </c>
      <c r="C85" s="142" t="s">
        <v>47</v>
      </c>
      <c r="D85" s="143">
        <v>196</v>
      </c>
      <c r="E85" s="144">
        <v>1.5820000000000001</v>
      </c>
      <c r="F85" s="404">
        <v>192.95</v>
      </c>
      <c r="G85" s="421">
        <v>1.1000000000000001</v>
      </c>
      <c r="H85" s="548">
        <v>196</v>
      </c>
      <c r="I85" s="571">
        <v>1.5820000000000001</v>
      </c>
      <c r="J85" s="321"/>
      <c r="Z85" s="358"/>
      <c r="AA85" s="510">
        <f t="shared" si="14"/>
        <v>20</v>
      </c>
      <c r="AB85">
        <f t="shared" si="12"/>
        <v>1159.47</v>
      </c>
      <c r="AC85">
        <f t="shared" si="13"/>
        <v>0</v>
      </c>
    </row>
    <row r="86" spans="1:29" ht="15.75" customHeight="1" thickBot="1">
      <c r="A86" s="150">
        <f t="shared" si="15"/>
        <v>21</v>
      </c>
      <c r="B86" s="151" t="s">
        <v>52</v>
      </c>
      <c r="C86" s="151" t="s">
        <v>47</v>
      </c>
      <c r="D86" s="152">
        <v>174</v>
      </c>
      <c r="E86" s="153">
        <v>0.47899999999999998</v>
      </c>
      <c r="F86" s="422">
        <v>172.62</v>
      </c>
      <c r="G86" s="423">
        <v>9.8000000000000004E-2</v>
      </c>
      <c r="H86" s="551">
        <v>173.7</v>
      </c>
      <c r="I86" s="574">
        <v>0.215</v>
      </c>
      <c r="J86" s="370"/>
      <c r="Z86" s="358"/>
      <c r="AA86" s="510">
        <f t="shared" si="14"/>
        <v>21</v>
      </c>
      <c r="AB86">
        <f t="shared" si="12"/>
        <v>1167.6500000000001</v>
      </c>
      <c r="AC86">
        <f t="shared" si="13"/>
        <v>0</v>
      </c>
    </row>
    <row r="87" spans="1:29" ht="15.75" customHeight="1">
      <c r="A87" s="138">
        <f t="shared" si="15"/>
        <v>22</v>
      </c>
      <c r="B87" s="139" t="s">
        <v>53</v>
      </c>
      <c r="C87" s="139" t="s">
        <v>47</v>
      </c>
      <c r="D87" s="140">
        <v>229.1</v>
      </c>
      <c r="E87" s="368">
        <v>0.79200000000000004</v>
      </c>
      <c r="F87" s="424">
        <v>219.01</v>
      </c>
      <c r="G87" s="425">
        <v>8.8999999999999996E-2</v>
      </c>
      <c r="H87" s="552">
        <v>221.6</v>
      </c>
      <c r="I87" s="575">
        <v>0.20200000000000001</v>
      </c>
      <c r="J87" s="369"/>
      <c r="Z87" s="358"/>
      <c r="AA87" s="510">
        <f t="shared" si="14"/>
        <v>22</v>
      </c>
      <c r="AB87">
        <f t="shared" si="12"/>
        <v>1190</v>
      </c>
      <c r="AC87">
        <f t="shared" si="13"/>
        <v>0</v>
      </c>
    </row>
    <row r="88" spans="1:29" ht="15.75" customHeight="1">
      <c r="A88" s="141">
        <f t="shared" si="15"/>
        <v>23</v>
      </c>
      <c r="B88" s="142" t="s">
        <v>54</v>
      </c>
      <c r="C88" s="142" t="s">
        <v>47</v>
      </c>
      <c r="D88" s="143">
        <v>249</v>
      </c>
      <c r="E88" s="144">
        <v>2.1240000000000001</v>
      </c>
      <c r="F88" s="404">
        <v>241.47</v>
      </c>
      <c r="G88" s="421">
        <v>0.72399999999999998</v>
      </c>
      <c r="H88" s="548">
        <v>245.95</v>
      </c>
      <c r="I88" s="573">
        <v>1.2110000000000001</v>
      </c>
      <c r="J88" s="321"/>
      <c r="Z88" s="358"/>
      <c r="AA88" s="510">
        <f t="shared" si="14"/>
        <v>23</v>
      </c>
      <c r="AB88">
        <f t="shared" si="12"/>
        <v>1217</v>
      </c>
      <c r="AC88">
        <f t="shared" si="13"/>
        <v>0</v>
      </c>
    </row>
    <row r="89" spans="1:29" ht="15.75" customHeight="1">
      <c r="A89" s="141">
        <f t="shared" si="15"/>
        <v>24</v>
      </c>
      <c r="B89" s="142" t="s">
        <v>55</v>
      </c>
      <c r="C89" s="142" t="s">
        <v>95</v>
      </c>
      <c r="D89" s="143">
        <v>164.75</v>
      </c>
      <c r="E89" s="148">
        <v>5</v>
      </c>
      <c r="F89" s="404">
        <v>156.11000000000001</v>
      </c>
      <c r="G89" s="421">
        <v>0.98599999999999999</v>
      </c>
      <c r="H89" s="547">
        <v>156.5</v>
      </c>
      <c r="I89" s="573">
        <v>1.109</v>
      </c>
      <c r="J89" s="321"/>
      <c r="Z89" s="358"/>
      <c r="AA89" s="510">
        <f t="shared" si="14"/>
        <v>24</v>
      </c>
      <c r="AB89">
        <f t="shared" si="12"/>
        <v>1241</v>
      </c>
      <c r="AC89">
        <f t="shared" si="13"/>
        <v>0</v>
      </c>
    </row>
    <row r="90" spans="1:29" ht="15.75" customHeight="1">
      <c r="A90" s="141">
        <f t="shared" si="15"/>
        <v>25</v>
      </c>
      <c r="B90" s="142" t="s">
        <v>56</v>
      </c>
      <c r="C90" s="142" t="s">
        <v>95</v>
      </c>
      <c r="D90" s="143">
        <v>179.1</v>
      </c>
      <c r="E90" s="144">
        <v>4.2</v>
      </c>
      <c r="F90" s="426">
        <v>168.86</v>
      </c>
      <c r="G90" s="420">
        <v>0.47599999999999998</v>
      </c>
      <c r="H90" s="547">
        <v>174.61</v>
      </c>
      <c r="I90" s="571">
        <v>1.929</v>
      </c>
      <c r="J90" s="321"/>
      <c r="Z90" s="358"/>
      <c r="AA90" s="510">
        <f t="shared" si="14"/>
        <v>25</v>
      </c>
      <c r="AB90">
        <f t="shared" si="12"/>
        <v>1262</v>
      </c>
      <c r="AC90">
        <f t="shared" si="13"/>
        <v>0</v>
      </c>
    </row>
    <row r="91" spans="1:29" ht="15.75" customHeight="1">
      <c r="A91" s="141">
        <f t="shared" si="15"/>
        <v>26</v>
      </c>
      <c r="B91" s="142" t="s">
        <v>57</v>
      </c>
      <c r="C91" s="142" t="s">
        <v>96</v>
      </c>
      <c r="D91" s="143">
        <v>326.56</v>
      </c>
      <c r="E91" s="144">
        <v>0.70099999999999996</v>
      </c>
      <c r="F91" s="407">
        <v>318.94</v>
      </c>
      <c r="G91" s="406">
        <v>0.222</v>
      </c>
      <c r="H91" s="548">
        <v>325.56</v>
      </c>
      <c r="I91" s="573">
        <v>0.70099999999999996</v>
      </c>
      <c r="J91" s="321"/>
      <c r="Z91" s="358"/>
      <c r="AA91" s="510">
        <f t="shared" si="14"/>
        <v>26</v>
      </c>
      <c r="AB91">
        <f t="shared" si="12"/>
        <v>1275</v>
      </c>
      <c r="AC91">
        <f t="shared" si="13"/>
        <v>0</v>
      </c>
    </row>
    <row r="92" spans="1:29" ht="15.75" customHeight="1">
      <c r="A92" s="141">
        <f t="shared" si="15"/>
        <v>27</v>
      </c>
      <c r="B92" s="142" t="s">
        <v>58</v>
      </c>
      <c r="C92" s="142" t="s">
        <v>96</v>
      </c>
      <c r="D92" s="143">
        <v>129.19999999999999</v>
      </c>
      <c r="E92" s="144">
        <v>0.5</v>
      </c>
      <c r="F92" s="404">
        <v>125.89</v>
      </c>
      <c r="G92" s="421">
        <v>0.16400000000000001</v>
      </c>
      <c r="H92" s="548">
        <v>127.65</v>
      </c>
      <c r="I92" s="571">
        <v>0.34499999999999997</v>
      </c>
      <c r="J92" s="321"/>
      <c r="Z92" s="358"/>
      <c r="AA92" s="510">
        <f t="shared" si="14"/>
        <v>27</v>
      </c>
      <c r="AB92">
        <f t="shared" si="12"/>
        <v>1286</v>
      </c>
      <c r="AC92">
        <f t="shared" si="13"/>
        <v>0</v>
      </c>
    </row>
    <row r="93" spans="1:29" ht="15.75" customHeight="1">
      <c r="A93" s="141">
        <f t="shared" si="15"/>
        <v>28</v>
      </c>
      <c r="B93" s="142" t="s">
        <v>59</v>
      </c>
      <c r="C93" s="142" t="s">
        <v>96</v>
      </c>
      <c r="D93" s="143">
        <v>282.76</v>
      </c>
      <c r="E93" s="144">
        <v>0.51300000000000001</v>
      </c>
      <c r="F93" s="404">
        <v>279.52999999999997</v>
      </c>
      <c r="G93" s="421">
        <v>0.16900000000000001</v>
      </c>
      <c r="H93" s="550">
        <v>282.77999999999997</v>
      </c>
      <c r="I93" s="571">
        <v>0.51300000000000001</v>
      </c>
      <c r="J93" s="321"/>
      <c r="Z93" s="358"/>
      <c r="AA93" s="510">
        <f t="shared" si="14"/>
        <v>28</v>
      </c>
      <c r="AB93">
        <f t="shared" si="12"/>
        <v>1292</v>
      </c>
      <c r="AC93">
        <f t="shared" si="13"/>
        <v>0</v>
      </c>
    </row>
    <row r="94" spans="1:29" ht="15.75" customHeight="1">
      <c r="A94" s="141">
        <f t="shared" si="15"/>
        <v>29</v>
      </c>
      <c r="B94" s="142" t="s">
        <v>60</v>
      </c>
      <c r="C94" s="142" t="s">
        <v>96</v>
      </c>
      <c r="D94" s="143">
        <v>99</v>
      </c>
      <c r="E94" s="144">
        <v>2.6110000000000002</v>
      </c>
      <c r="F94" s="404">
        <v>93.8</v>
      </c>
      <c r="G94" s="421">
        <v>0.58899999999999997</v>
      </c>
      <c r="H94" s="548">
        <v>97.89</v>
      </c>
      <c r="I94" s="573">
        <v>2.028</v>
      </c>
      <c r="J94" s="321"/>
      <c r="Z94" s="358"/>
      <c r="AA94" s="510">
        <f t="shared" si="14"/>
        <v>29</v>
      </c>
      <c r="AB94">
        <f t="shared" si="12"/>
        <v>1229</v>
      </c>
      <c r="AC94">
        <f t="shared" si="13"/>
        <v>0</v>
      </c>
    </row>
    <row r="95" spans="1:29" ht="15.75" customHeight="1">
      <c r="A95" s="141">
        <f t="shared" si="15"/>
        <v>30</v>
      </c>
      <c r="B95" s="142" t="s">
        <v>61</v>
      </c>
      <c r="C95" s="142" t="s">
        <v>96</v>
      </c>
      <c r="D95" s="143">
        <v>189.7</v>
      </c>
      <c r="E95" s="148">
        <v>0.08</v>
      </c>
      <c r="F95" s="404">
        <v>188.18</v>
      </c>
      <c r="G95" s="421">
        <v>0.03</v>
      </c>
      <c r="H95" s="548">
        <v>189.7</v>
      </c>
      <c r="I95" s="573">
        <v>0.08</v>
      </c>
      <c r="J95" s="321"/>
      <c r="Z95" s="358"/>
      <c r="AA95" s="510">
        <f t="shared" si="14"/>
        <v>30</v>
      </c>
      <c r="AB95">
        <f t="shared" si="12"/>
        <v>1216</v>
      </c>
      <c r="AC95">
        <f t="shared" si="13"/>
        <v>0</v>
      </c>
    </row>
    <row r="96" spans="1:29" ht="15.75" customHeight="1">
      <c r="A96" s="141">
        <f t="shared" si="15"/>
        <v>31</v>
      </c>
      <c r="B96" s="142" t="s">
        <v>62</v>
      </c>
      <c r="C96" s="142" t="s">
        <v>96</v>
      </c>
      <c r="D96" s="143">
        <v>171.16</v>
      </c>
      <c r="E96" s="144">
        <v>9.6000000000000002E-2</v>
      </c>
      <c r="F96" s="402">
        <v>169.19</v>
      </c>
      <c r="G96" s="403">
        <v>4.8000000000000001E-2</v>
      </c>
      <c r="H96" s="548">
        <v>171.46</v>
      </c>
      <c r="I96" s="573">
        <v>0.10299999999999999</v>
      </c>
      <c r="J96" s="321"/>
      <c r="Z96" s="358"/>
      <c r="AA96" s="510">
        <f t="shared" si="14"/>
        <v>31</v>
      </c>
      <c r="AB96">
        <f t="shared" si="12"/>
        <v>1230</v>
      </c>
      <c r="AC96">
        <f t="shared" si="13"/>
        <v>0</v>
      </c>
    </row>
    <row r="97" spans="1:29" ht="15.75" customHeight="1">
      <c r="A97" s="141">
        <f t="shared" si="15"/>
        <v>32</v>
      </c>
      <c r="B97" s="142" t="s">
        <v>63</v>
      </c>
      <c r="C97" s="142" t="s">
        <v>97</v>
      </c>
      <c r="D97" s="143">
        <v>142.6</v>
      </c>
      <c r="E97" s="356">
        <v>9.157</v>
      </c>
      <c r="F97" s="404">
        <v>137.94999999999999</v>
      </c>
      <c r="G97" s="409">
        <v>1.8169999999999999</v>
      </c>
      <c r="H97" s="545">
        <v>140.03</v>
      </c>
      <c r="I97" s="576">
        <v>2.78</v>
      </c>
      <c r="J97" s="321"/>
      <c r="Z97" s="358"/>
      <c r="AA97" s="510">
        <f t="shared" si="14"/>
        <v>32</v>
      </c>
      <c r="AB97">
        <f t="shared" ref="AB97:AB124" si="16">IF(N7="tad","tad",N7)</f>
        <v>1300</v>
      </c>
      <c r="AC97">
        <f t="shared" si="13"/>
        <v>0</v>
      </c>
    </row>
    <row r="98" spans="1:29" ht="15.75" customHeight="1">
      <c r="A98" s="141">
        <f t="shared" si="15"/>
        <v>33</v>
      </c>
      <c r="B98" s="142" t="s">
        <v>64</v>
      </c>
      <c r="C98" s="142" t="s">
        <v>97</v>
      </c>
      <c r="D98" s="143">
        <v>239.5</v>
      </c>
      <c r="E98" s="144">
        <v>2.6720000000000002</v>
      </c>
      <c r="F98" s="404">
        <v>235.17</v>
      </c>
      <c r="G98" s="419">
        <v>0.64900000000000002</v>
      </c>
      <c r="H98" s="545">
        <v>235.88</v>
      </c>
      <c r="I98" s="576">
        <v>0.90200000000000002</v>
      </c>
      <c r="J98" s="321"/>
      <c r="Z98" s="358"/>
      <c r="AA98" s="510">
        <f t="shared" si="14"/>
        <v>33</v>
      </c>
      <c r="AB98">
        <f t="shared" si="16"/>
        <v>1312</v>
      </c>
      <c r="AC98">
        <f t="shared" si="13"/>
        <v>0</v>
      </c>
    </row>
    <row r="99" spans="1:29" ht="15.75" customHeight="1">
      <c r="A99" s="141">
        <f t="shared" si="15"/>
        <v>34</v>
      </c>
      <c r="B99" s="142" t="s">
        <v>65</v>
      </c>
      <c r="C99" s="142" t="s">
        <v>98</v>
      </c>
      <c r="D99" s="143">
        <v>120.5</v>
      </c>
      <c r="E99" s="144">
        <v>3.677</v>
      </c>
      <c r="F99" s="404">
        <v>118.93</v>
      </c>
      <c r="G99" s="421">
        <v>1.0449999999999999</v>
      </c>
      <c r="H99" s="547">
        <v>120.45</v>
      </c>
      <c r="I99" s="571">
        <v>3.5819999999999999</v>
      </c>
      <c r="J99" s="321"/>
      <c r="Z99" s="358"/>
      <c r="AA99" s="510">
        <f t="shared" si="14"/>
        <v>34</v>
      </c>
      <c r="AB99">
        <f t="shared" si="16"/>
        <v>1322</v>
      </c>
      <c r="AC99">
        <f t="shared" si="13"/>
        <v>0</v>
      </c>
    </row>
    <row r="100" spans="1:29" ht="15.75" customHeight="1">
      <c r="A100" s="141">
        <f t="shared" si="15"/>
        <v>35</v>
      </c>
      <c r="B100" s="142" t="s">
        <v>66</v>
      </c>
      <c r="C100" s="142" t="s">
        <v>99</v>
      </c>
      <c r="D100" s="143">
        <v>110.56</v>
      </c>
      <c r="E100" s="144">
        <v>2.75</v>
      </c>
      <c r="F100" s="404">
        <v>108.08</v>
      </c>
      <c r="G100" s="421">
        <v>0.53500000000000003</v>
      </c>
      <c r="H100" s="547">
        <v>109.51</v>
      </c>
      <c r="I100" s="571">
        <v>1.32</v>
      </c>
      <c r="J100" s="321"/>
      <c r="Z100" s="358"/>
      <c r="AA100" s="510">
        <f t="shared" si="14"/>
        <v>35</v>
      </c>
      <c r="AB100">
        <f t="shared" si="16"/>
        <v>1341</v>
      </c>
      <c r="AC100">
        <f t="shared" si="13"/>
        <v>0</v>
      </c>
    </row>
    <row r="101" spans="1:29" ht="15.75" customHeight="1">
      <c r="A101" s="141">
        <f t="shared" si="15"/>
        <v>36</v>
      </c>
      <c r="B101" s="142" t="s">
        <v>67</v>
      </c>
      <c r="C101" s="142" t="s">
        <v>100</v>
      </c>
      <c r="D101" s="143">
        <v>72</v>
      </c>
      <c r="E101" s="356">
        <v>38.036000000000001</v>
      </c>
      <c r="F101" s="402">
        <v>49.05</v>
      </c>
      <c r="G101" s="403">
        <v>2.9060000000000001</v>
      </c>
      <c r="H101" s="561">
        <v>68.400000000000006</v>
      </c>
      <c r="I101" s="570">
        <v>29.687999999999999</v>
      </c>
      <c r="J101" s="321"/>
      <c r="Z101" s="358"/>
      <c r="AA101" s="510">
        <f t="shared" si="14"/>
        <v>36</v>
      </c>
      <c r="AB101">
        <f t="shared" si="16"/>
        <v>1340</v>
      </c>
      <c r="AC101">
        <f t="shared" si="13"/>
        <v>0</v>
      </c>
    </row>
    <row r="102" spans="1:29" ht="15.75" customHeight="1">
      <c r="A102" s="141">
        <f t="shared" si="15"/>
        <v>37</v>
      </c>
      <c r="B102" s="142" t="s">
        <v>68</v>
      </c>
      <c r="C102" s="142" t="s">
        <v>100</v>
      </c>
      <c r="D102" s="143">
        <v>185</v>
      </c>
      <c r="E102" s="356">
        <v>412.66</v>
      </c>
      <c r="F102" s="402">
        <v>174</v>
      </c>
      <c r="G102" s="403">
        <v>280.714</v>
      </c>
      <c r="H102" s="545">
        <v>173.4</v>
      </c>
      <c r="I102" s="570">
        <v>275.108</v>
      </c>
      <c r="J102" s="321"/>
      <c r="Z102" s="358"/>
      <c r="AA102" s="510">
        <f t="shared" si="14"/>
        <v>37</v>
      </c>
      <c r="AB102">
        <f t="shared" si="16"/>
        <v>1342</v>
      </c>
      <c r="AC102">
        <f t="shared" si="13"/>
        <v>0</v>
      </c>
    </row>
    <row r="103" spans="1:29" ht="15.75" customHeight="1" thickBot="1">
      <c r="A103" s="150">
        <v>38</v>
      </c>
      <c r="B103" s="151" t="s">
        <v>69</v>
      </c>
      <c r="C103" s="151" t="s">
        <v>101</v>
      </c>
      <c r="D103" s="152">
        <v>231</v>
      </c>
      <c r="E103" s="357">
        <v>31.8</v>
      </c>
      <c r="F103" s="410">
        <v>230.65</v>
      </c>
      <c r="G103" s="411">
        <v>22.28</v>
      </c>
      <c r="H103" s="562">
        <v>230.1</v>
      </c>
      <c r="I103" s="596">
        <v>18.350000000000001</v>
      </c>
      <c r="J103" s="321"/>
      <c r="Z103" s="358"/>
      <c r="AA103" s="510">
        <f t="shared" si="14"/>
        <v>38</v>
      </c>
      <c r="AB103">
        <f t="shared" si="16"/>
        <v>1346</v>
      </c>
      <c r="AC103">
        <f t="shared" si="13"/>
        <v>0</v>
      </c>
    </row>
    <row r="104" spans="1:29" ht="15.75" customHeight="1" thickBot="1">
      <c r="A104" s="154"/>
      <c r="B104" s="155" t="s">
        <v>70</v>
      </c>
      <c r="C104" s="155"/>
      <c r="D104" s="156"/>
      <c r="E104" s="157">
        <f>SUM(E66:E103)</f>
        <v>1860.202</v>
      </c>
      <c r="F104" s="412"/>
      <c r="G104" s="374">
        <f>SUM(G66:G103)</f>
        <v>954.22399999999993</v>
      </c>
      <c r="H104" s="553"/>
      <c r="I104" s="470">
        <f>SUM(I66:I103)</f>
        <v>1028.6770000000001</v>
      </c>
      <c r="J104" s="158">
        <f>+I104-G104</f>
        <v>74.453000000000202</v>
      </c>
      <c r="Z104" s="358"/>
      <c r="AA104" s="510">
        <f t="shared" si="14"/>
        <v>39</v>
      </c>
      <c r="AB104">
        <f t="shared" si="16"/>
        <v>1341</v>
      </c>
      <c r="AC104">
        <f t="shared" si="13"/>
        <v>0</v>
      </c>
    </row>
    <row r="105" spans="1:29" ht="15.75" customHeight="1" thickBot="1">
      <c r="A105" s="159" t="s">
        <v>71</v>
      </c>
      <c r="B105" s="155" t="s">
        <v>72</v>
      </c>
      <c r="C105" s="155"/>
      <c r="D105" s="156"/>
      <c r="E105" s="157"/>
      <c r="F105" s="427"/>
      <c r="G105" s="428">
        <v>1</v>
      </c>
      <c r="H105" s="553"/>
      <c r="I105" s="471">
        <f>+I104/G104</f>
        <v>1.0780246566843845</v>
      </c>
      <c r="J105" s="160">
        <f>+I105-G105</f>
        <v>7.8024656684384519E-2</v>
      </c>
      <c r="Z105" s="358"/>
      <c r="AA105" s="510">
        <f t="shared" si="14"/>
        <v>40</v>
      </c>
      <c r="AB105">
        <f t="shared" si="16"/>
        <v>1342</v>
      </c>
      <c r="AC105">
        <f t="shared" si="13"/>
        <v>0</v>
      </c>
    </row>
    <row r="106" spans="1:29" ht="24.95" customHeight="1" thickBot="1">
      <c r="A106" s="200"/>
      <c r="B106" s="199"/>
      <c r="C106" s="198"/>
      <c r="D106" s="162"/>
      <c r="E106" s="163">
        <v>1</v>
      </c>
      <c r="F106" s="429" t="s">
        <v>71</v>
      </c>
      <c r="G106" s="375">
        <f>+G104/E104*100%</f>
        <v>0.51296794649183253</v>
      </c>
      <c r="H106" s="484"/>
      <c r="I106" s="472">
        <f>+I104/E104</f>
        <v>0.55299209440695163</v>
      </c>
      <c r="J106" s="160">
        <f>+I106-E106</f>
        <v>-0.44700790559304837</v>
      </c>
      <c r="Z106" s="358"/>
      <c r="AA106" s="510">
        <f t="shared" si="14"/>
        <v>41</v>
      </c>
      <c r="AB106">
        <f t="shared" si="16"/>
        <v>1349</v>
      </c>
      <c r="AC106">
        <f t="shared" si="13"/>
        <v>0</v>
      </c>
    </row>
    <row r="107" spans="1:29" ht="24.95" customHeight="1">
      <c r="A107" s="161"/>
      <c r="B107" s="162"/>
      <c r="C107" s="162"/>
      <c r="D107" s="162"/>
      <c r="E107" s="162"/>
      <c r="F107" s="377"/>
      <c r="G107" s="429"/>
      <c r="H107" s="484"/>
      <c r="I107" s="473"/>
      <c r="J107" s="165"/>
      <c r="K107" s="389"/>
      <c r="Z107" s="358"/>
      <c r="AA107" s="510">
        <f t="shared" si="14"/>
        <v>42</v>
      </c>
      <c r="AB107">
        <f t="shared" si="16"/>
        <v>1344</v>
      </c>
      <c r="AC107">
        <f t="shared" si="13"/>
        <v>0</v>
      </c>
    </row>
    <row r="108" spans="1:29" ht="24.95" customHeight="1">
      <c r="A108" s="161"/>
      <c r="B108" s="162"/>
      <c r="C108" s="162"/>
      <c r="D108" s="162"/>
      <c r="E108" s="164">
        <f>+F109/E104*100</f>
        <v>0.2684117101261046</v>
      </c>
      <c r="F108" s="377"/>
      <c r="G108" s="429"/>
      <c r="H108" s="484"/>
      <c r="I108" s="473"/>
      <c r="J108" s="132"/>
      <c r="K108" s="389"/>
      <c r="Z108" s="358"/>
      <c r="AA108" s="510">
        <f t="shared" si="14"/>
        <v>43</v>
      </c>
      <c r="AB108">
        <f t="shared" si="16"/>
        <v>1339</v>
      </c>
      <c r="AC108">
        <f t="shared" si="13"/>
        <v>0</v>
      </c>
    </row>
    <row r="109" spans="1:29" ht="24.95" customHeight="1">
      <c r="A109" s="162"/>
      <c r="B109" s="162"/>
      <c r="C109" s="162"/>
      <c r="D109" s="162"/>
      <c r="E109" s="162"/>
      <c r="F109" s="430">
        <f>+G96+G95+G94+G93+G92+G91+G89+G88+G87+G86+G85+G83+G80+G74+G73</f>
        <v>4.9930000000000003</v>
      </c>
      <c r="G109" s="429">
        <f>+G107/G104*100</f>
        <v>0</v>
      </c>
      <c r="H109" s="484" t="s">
        <v>71</v>
      </c>
      <c r="I109" s="473" t="s">
        <v>71</v>
      </c>
      <c r="J109" s="132"/>
      <c r="K109" s="389"/>
      <c r="Z109" s="358"/>
      <c r="AA109" s="510">
        <f t="shared" si="14"/>
        <v>44</v>
      </c>
      <c r="AB109">
        <f t="shared" si="16"/>
        <v>1344</v>
      </c>
      <c r="AC109">
        <f t="shared" si="13"/>
        <v>0</v>
      </c>
    </row>
    <row r="110" spans="1:29" ht="24.95" customHeight="1">
      <c r="A110" s="176"/>
      <c r="B110" s="176"/>
      <c r="C110" s="201"/>
      <c r="D110" s="176"/>
      <c r="E110" s="176"/>
      <c r="F110" s="431"/>
      <c r="G110" s="432"/>
      <c r="H110" s="554"/>
      <c r="I110" s="474"/>
      <c r="J110" s="133"/>
      <c r="K110" s="389"/>
      <c r="Z110" s="358"/>
      <c r="AA110" s="510">
        <f t="shared" si="14"/>
        <v>45</v>
      </c>
      <c r="AB110">
        <f t="shared" si="16"/>
        <v>1362</v>
      </c>
      <c r="AC110">
        <f t="shared" si="13"/>
        <v>0</v>
      </c>
    </row>
    <row r="111" spans="1:29" ht="24.95" customHeight="1">
      <c r="A111" s="237"/>
      <c r="B111" s="236"/>
      <c r="C111" s="236"/>
      <c r="D111" s="236"/>
      <c r="E111" s="236"/>
      <c r="F111" s="376"/>
      <c r="G111" s="376"/>
      <c r="H111" s="475"/>
      <c r="I111" s="475"/>
      <c r="J111" s="132"/>
      <c r="K111" s="389"/>
      <c r="Z111" s="358"/>
      <c r="AA111" s="510">
        <f t="shared" si="14"/>
        <v>46</v>
      </c>
      <c r="AB111">
        <f t="shared" si="16"/>
        <v>1360</v>
      </c>
      <c r="AC111">
        <f t="shared" si="13"/>
        <v>0</v>
      </c>
    </row>
    <row r="112" spans="1:29" ht="24.95" customHeight="1" thickBot="1">
      <c r="A112" s="38"/>
      <c r="B112" s="116"/>
      <c r="C112" s="116"/>
      <c r="D112" s="40"/>
      <c r="E112" s="41"/>
      <c r="F112" s="433"/>
      <c r="G112" s="434"/>
      <c r="H112" s="558"/>
      <c r="I112" s="483"/>
      <c r="J112" s="132"/>
      <c r="K112" s="389"/>
      <c r="Z112" s="358"/>
      <c r="AA112" s="510">
        <f t="shared" si="14"/>
        <v>47</v>
      </c>
      <c r="AB112">
        <f t="shared" si="16"/>
        <v>1366</v>
      </c>
      <c r="AC112">
        <f t="shared" si="13"/>
        <v>0</v>
      </c>
    </row>
    <row r="113" spans="1:29" ht="24.95" customHeight="1">
      <c r="A113" s="605" t="s">
        <v>20</v>
      </c>
      <c r="B113" s="608" t="s">
        <v>21</v>
      </c>
      <c r="C113" s="608" t="s">
        <v>85</v>
      </c>
      <c r="D113" s="231" t="s">
        <v>22</v>
      </c>
      <c r="E113" s="232"/>
      <c r="F113" s="394" t="s">
        <v>23</v>
      </c>
      <c r="G113" s="395"/>
      <c r="H113" s="555" t="s">
        <v>24</v>
      </c>
      <c r="I113" s="479"/>
      <c r="J113" s="384"/>
      <c r="K113" s="389"/>
      <c r="Z113" s="358"/>
      <c r="AA113" s="510">
        <f t="shared" si="14"/>
        <v>48</v>
      </c>
      <c r="AB113">
        <f t="shared" si="16"/>
        <v>1387</v>
      </c>
      <c r="AC113">
        <f t="shared" si="13"/>
        <v>0</v>
      </c>
    </row>
    <row r="114" spans="1:29" ht="24.95" customHeight="1">
      <c r="A114" s="606"/>
      <c r="B114" s="609"/>
      <c r="C114" s="609"/>
      <c r="D114" s="4" t="s">
        <v>26</v>
      </c>
      <c r="E114" s="4" t="s">
        <v>27</v>
      </c>
      <c r="F114" s="396" t="s">
        <v>26</v>
      </c>
      <c r="G114" s="397" t="s">
        <v>27</v>
      </c>
      <c r="H114" s="556" t="s">
        <v>26</v>
      </c>
      <c r="I114" s="480" t="s">
        <v>27</v>
      </c>
      <c r="J114" s="385"/>
      <c r="K114" s="389"/>
      <c r="Z114" s="358"/>
      <c r="AA114" s="510">
        <f t="shared" si="14"/>
        <v>49</v>
      </c>
      <c r="AB114">
        <f t="shared" si="16"/>
        <v>1400</v>
      </c>
      <c r="AC114">
        <f t="shared" si="13"/>
        <v>0</v>
      </c>
    </row>
    <row r="115" spans="1:29" ht="24.95" customHeight="1" thickBot="1">
      <c r="A115" s="607"/>
      <c r="B115" s="610"/>
      <c r="C115" s="610"/>
      <c r="D115" s="2" t="s">
        <v>28</v>
      </c>
      <c r="E115" s="2" t="s">
        <v>29</v>
      </c>
      <c r="F115" s="398" t="s">
        <v>28</v>
      </c>
      <c r="G115" s="399" t="s">
        <v>29</v>
      </c>
      <c r="H115" s="557" t="s">
        <v>28</v>
      </c>
      <c r="I115" s="481" t="s">
        <v>29</v>
      </c>
      <c r="J115" s="386"/>
      <c r="K115" s="389"/>
      <c r="Z115" s="358"/>
      <c r="AA115" s="510">
        <f t="shared" si="14"/>
        <v>50</v>
      </c>
      <c r="AB115">
        <f t="shared" si="16"/>
        <v>1393</v>
      </c>
      <c r="AC115">
        <f t="shared" si="13"/>
        <v>0</v>
      </c>
    </row>
    <row r="116" spans="1:29" ht="24.95" customHeight="1" thickBot="1">
      <c r="A116" s="70">
        <v>1</v>
      </c>
      <c r="B116" s="21">
        <v>2</v>
      </c>
      <c r="C116" s="21">
        <v>3</v>
      </c>
      <c r="D116" s="21">
        <v>4</v>
      </c>
      <c r="E116" s="21">
        <v>5</v>
      </c>
      <c r="F116" s="400">
        <v>6</v>
      </c>
      <c r="G116" s="400">
        <v>7</v>
      </c>
      <c r="H116" s="467">
        <v>8</v>
      </c>
      <c r="I116" s="482">
        <v>9</v>
      </c>
      <c r="J116" s="416"/>
      <c r="K116" s="389"/>
      <c r="Z116" s="358"/>
      <c r="AA116" s="510">
        <f t="shared" si="14"/>
        <v>51</v>
      </c>
      <c r="AB116">
        <f t="shared" si="16"/>
        <v>1410</v>
      </c>
      <c r="AC116">
        <f t="shared" si="13"/>
        <v>0</v>
      </c>
    </row>
    <row r="117" spans="1:29" ht="15.75" customHeight="1">
      <c r="A117" s="138">
        <v>1</v>
      </c>
      <c r="B117" s="139" t="s">
        <v>31</v>
      </c>
      <c r="C117" s="139" t="s">
        <v>86</v>
      </c>
      <c r="D117" s="140">
        <v>55.75</v>
      </c>
      <c r="E117" s="355">
        <v>37.046999999999997</v>
      </c>
      <c r="F117" s="417">
        <v>53.24</v>
      </c>
      <c r="G117" s="401">
        <v>21.414000000000001</v>
      </c>
      <c r="H117" s="544">
        <v>50.72</v>
      </c>
      <c r="I117" s="569">
        <v>8.9619999999999997</v>
      </c>
      <c r="J117" s="560" t="s">
        <v>229</v>
      </c>
      <c r="K117" s="389"/>
      <c r="Z117" s="358"/>
      <c r="AA117" s="510">
        <f t="shared" si="14"/>
        <v>52</v>
      </c>
      <c r="AB117">
        <f t="shared" si="16"/>
        <v>1413</v>
      </c>
      <c r="AC117">
        <f t="shared" si="13"/>
        <v>0</v>
      </c>
    </row>
    <row r="118" spans="1:29" ht="15.75" customHeight="1">
      <c r="A118" s="141">
        <f>+A117+1</f>
        <v>2</v>
      </c>
      <c r="B118" s="142" t="s">
        <v>32</v>
      </c>
      <c r="C118" s="142" t="s">
        <v>86</v>
      </c>
      <c r="D118" s="143">
        <v>339.5</v>
      </c>
      <c r="E118" s="356">
        <v>7.77</v>
      </c>
      <c r="F118" s="418">
        <v>338.77</v>
      </c>
      <c r="G118" s="403">
        <v>7.157</v>
      </c>
      <c r="H118" s="545">
        <v>339.48</v>
      </c>
      <c r="I118" s="570">
        <v>7.7549999999999999</v>
      </c>
      <c r="J118" s="321"/>
      <c r="K118" s="389"/>
      <c r="Z118" s="358"/>
      <c r="AA118" s="510">
        <f t="shared" si="14"/>
        <v>53</v>
      </c>
      <c r="AB118">
        <f t="shared" si="16"/>
        <v>1410</v>
      </c>
      <c r="AC118">
        <f t="shared" si="13"/>
        <v>0</v>
      </c>
    </row>
    <row r="119" spans="1:29" ht="15.75" customHeight="1">
      <c r="A119" s="141">
        <f t="shared" ref="A119:A153" si="17">+A118+1</f>
        <v>3</v>
      </c>
      <c r="B119" s="142" t="s">
        <v>33</v>
      </c>
      <c r="C119" s="142" t="s">
        <v>87</v>
      </c>
      <c r="D119" s="143">
        <v>77.5</v>
      </c>
      <c r="E119" s="356">
        <v>49.02</v>
      </c>
      <c r="F119" s="402">
        <v>73.650000000000006</v>
      </c>
      <c r="G119" s="403">
        <v>27.367000000000001</v>
      </c>
      <c r="H119" s="545">
        <v>73.02</v>
      </c>
      <c r="I119" s="570">
        <v>24.405999999999999</v>
      </c>
      <c r="J119" s="321"/>
      <c r="K119" s="389"/>
      <c r="Z119" s="358"/>
      <c r="AA119" s="510">
        <f t="shared" si="14"/>
        <v>54</v>
      </c>
      <c r="AB119">
        <f t="shared" si="16"/>
        <v>1416</v>
      </c>
      <c r="AC119">
        <f t="shared" si="13"/>
        <v>0</v>
      </c>
    </row>
    <row r="120" spans="1:29" ht="15.75" customHeight="1">
      <c r="A120" s="141">
        <f t="shared" si="17"/>
        <v>4</v>
      </c>
      <c r="B120" s="142" t="s">
        <v>34</v>
      </c>
      <c r="C120" s="142" t="s">
        <v>88</v>
      </c>
      <c r="D120" s="143">
        <v>463.3</v>
      </c>
      <c r="E120" s="356">
        <v>49.9</v>
      </c>
      <c r="F120" s="404">
        <v>461.79</v>
      </c>
      <c r="G120" s="419">
        <v>21.04</v>
      </c>
      <c r="H120" s="546">
        <v>461.7</v>
      </c>
      <c r="I120" s="577">
        <v>19.600000000000001</v>
      </c>
      <c r="J120" s="318"/>
      <c r="K120" s="389"/>
      <c r="Z120" s="358"/>
      <c r="AA120" s="510">
        <f t="shared" si="14"/>
        <v>55</v>
      </c>
      <c r="AB120">
        <f t="shared" si="16"/>
        <v>1431</v>
      </c>
      <c r="AC120">
        <f t="shared" si="13"/>
        <v>0</v>
      </c>
    </row>
    <row r="121" spans="1:29" ht="15.75" customHeight="1">
      <c r="A121" s="141">
        <f t="shared" si="17"/>
        <v>5</v>
      </c>
      <c r="B121" s="142" t="s">
        <v>35</v>
      </c>
      <c r="C121" s="142" t="s">
        <v>89</v>
      </c>
      <c r="D121" s="143">
        <v>207</v>
      </c>
      <c r="E121" s="356">
        <v>9.5030000000000001</v>
      </c>
      <c r="F121" s="404">
        <v>196.62</v>
      </c>
      <c r="G121" s="420">
        <v>3.0750000000000002</v>
      </c>
      <c r="H121" s="547">
        <v>199.61</v>
      </c>
      <c r="I121" s="589">
        <v>3.07</v>
      </c>
      <c r="J121" s="321"/>
      <c r="K121" s="389"/>
      <c r="Z121" s="358"/>
      <c r="AA121" s="510">
        <f t="shared" si="14"/>
        <v>56</v>
      </c>
      <c r="AB121">
        <f t="shared" si="16"/>
        <v>1440</v>
      </c>
      <c r="AC121">
        <f t="shared" si="13"/>
        <v>0</v>
      </c>
    </row>
    <row r="122" spans="1:29" ht="15.75" customHeight="1">
      <c r="A122" s="141">
        <f t="shared" si="17"/>
        <v>6</v>
      </c>
      <c r="B122" s="142" t="s">
        <v>36</v>
      </c>
      <c r="C122" s="142" t="s">
        <v>89</v>
      </c>
      <c r="D122" s="143">
        <v>320</v>
      </c>
      <c r="E122" s="144">
        <v>5.1509999999999998</v>
      </c>
      <c r="F122" s="404">
        <v>311.66000000000003</v>
      </c>
      <c r="G122" s="420">
        <v>1.7130000000000001</v>
      </c>
      <c r="H122" s="592">
        <v>311.87</v>
      </c>
      <c r="I122" s="589">
        <v>1.7829999999999999</v>
      </c>
      <c r="J122" s="321"/>
      <c r="K122" s="389"/>
      <c r="Z122" s="358"/>
      <c r="AA122" s="510">
        <f t="shared" si="14"/>
        <v>57</v>
      </c>
      <c r="AB122">
        <f t="shared" si="16"/>
        <v>1434</v>
      </c>
      <c r="AC122">
        <f t="shared" si="13"/>
        <v>0</v>
      </c>
    </row>
    <row r="123" spans="1:29" ht="15.75" customHeight="1">
      <c r="A123" s="141">
        <f t="shared" si="17"/>
        <v>7</v>
      </c>
      <c r="B123" s="142" t="s">
        <v>37</v>
      </c>
      <c r="C123" s="142" t="s">
        <v>90</v>
      </c>
      <c r="D123" s="143">
        <v>90</v>
      </c>
      <c r="E123" s="356">
        <v>723.16</v>
      </c>
      <c r="F123" s="404">
        <v>84.06</v>
      </c>
      <c r="G123" s="421">
        <v>485.46</v>
      </c>
      <c r="H123" s="545">
        <v>81.23</v>
      </c>
      <c r="I123" s="590">
        <v>384.69600000000003</v>
      </c>
      <c r="J123" s="318"/>
      <c r="K123" s="389"/>
      <c r="Z123" s="358"/>
      <c r="AA123" s="510">
        <f t="shared" si="14"/>
        <v>58</v>
      </c>
      <c r="AB123">
        <f t="shared" si="16"/>
        <v>1437</v>
      </c>
      <c r="AC123">
        <f t="shared" si="13"/>
        <v>0</v>
      </c>
    </row>
    <row r="124" spans="1:29" ht="15.75" customHeight="1">
      <c r="A124" s="141">
        <f t="shared" si="17"/>
        <v>8</v>
      </c>
      <c r="B124" s="142" t="s">
        <v>38</v>
      </c>
      <c r="C124" s="142" t="s">
        <v>91</v>
      </c>
      <c r="D124" s="143">
        <v>120.5</v>
      </c>
      <c r="E124" s="144">
        <v>2.0920000000000001</v>
      </c>
      <c r="F124" s="404">
        <v>114.9</v>
      </c>
      <c r="G124" s="419">
        <v>0.28799999999999998</v>
      </c>
      <c r="H124" s="591">
        <v>115.54</v>
      </c>
      <c r="I124" s="589">
        <v>0.46200000000000002</v>
      </c>
      <c r="J124" s="321" t="s">
        <v>215</v>
      </c>
      <c r="K124" s="389"/>
      <c r="Z124" s="358"/>
      <c r="AA124" s="510">
        <f t="shared" si="14"/>
        <v>59</v>
      </c>
      <c r="AB124">
        <f t="shared" si="16"/>
        <v>1458</v>
      </c>
      <c r="AC124">
        <f t="shared" si="13"/>
        <v>0</v>
      </c>
    </row>
    <row r="125" spans="1:29" ht="15.75" customHeight="1">
      <c r="A125" s="141">
        <f t="shared" si="17"/>
        <v>9</v>
      </c>
      <c r="B125" s="142" t="s">
        <v>39</v>
      </c>
      <c r="C125" s="142" t="s">
        <v>91</v>
      </c>
      <c r="D125" s="143">
        <v>120.8</v>
      </c>
      <c r="E125" s="144">
        <v>2.3530000000000002</v>
      </c>
      <c r="F125" s="404">
        <v>113.61</v>
      </c>
      <c r="G125" s="419">
        <v>0.35699999999999998</v>
      </c>
      <c r="H125" s="591">
        <v>119.33</v>
      </c>
      <c r="I125" s="589">
        <v>1.613</v>
      </c>
      <c r="J125" s="321" t="s">
        <v>215</v>
      </c>
      <c r="K125" s="389"/>
      <c r="Z125" s="358"/>
      <c r="AA125" s="510">
        <f t="shared" si="14"/>
        <v>60</v>
      </c>
      <c r="AB125">
        <f t="shared" ref="AB125:AB155" si="18">IF(O7="tad","tad",O7)</f>
        <v>1459</v>
      </c>
      <c r="AC125">
        <f t="shared" si="13"/>
        <v>0</v>
      </c>
    </row>
    <row r="126" spans="1:29" ht="15.75" customHeight="1">
      <c r="A126" s="141">
        <f t="shared" si="17"/>
        <v>10</v>
      </c>
      <c r="B126" s="142" t="s">
        <v>40</v>
      </c>
      <c r="C126" s="142" t="s">
        <v>92</v>
      </c>
      <c r="D126" s="146">
        <v>46.5</v>
      </c>
      <c r="E126" s="149">
        <v>4.5999999999999996</v>
      </c>
      <c r="F126" s="405">
        <v>43.1</v>
      </c>
      <c r="G126" s="408">
        <v>2.1640000000000001</v>
      </c>
      <c r="H126" s="592">
        <v>43.78</v>
      </c>
      <c r="I126" s="571">
        <v>2.5009999999999999</v>
      </c>
      <c r="J126" s="321" t="s">
        <v>216</v>
      </c>
      <c r="K126" s="389"/>
      <c r="Z126" s="358"/>
      <c r="AA126" s="510">
        <f t="shared" si="14"/>
        <v>61</v>
      </c>
      <c r="AB126">
        <f t="shared" si="18"/>
        <v>1457</v>
      </c>
      <c r="AC126">
        <f t="shared" si="13"/>
        <v>0</v>
      </c>
    </row>
    <row r="127" spans="1:29" ht="15.75" customHeight="1">
      <c r="A127" s="141">
        <f t="shared" si="17"/>
        <v>11</v>
      </c>
      <c r="B127" s="142" t="s">
        <v>42</v>
      </c>
      <c r="C127" s="142" t="s">
        <v>92</v>
      </c>
      <c r="D127" s="143">
        <v>51.5</v>
      </c>
      <c r="E127" s="144">
        <v>2.4159999999999999</v>
      </c>
      <c r="F127" s="404">
        <v>46.86</v>
      </c>
      <c r="G127" s="421">
        <v>0.90600000000000003</v>
      </c>
      <c r="H127" s="592">
        <v>49.64</v>
      </c>
      <c r="I127" s="593">
        <v>1.96</v>
      </c>
      <c r="J127" s="321" t="s">
        <v>217</v>
      </c>
      <c r="K127" s="389"/>
      <c r="Z127" s="358"/>
      <c r="AA127" s="510">
        <f t="shared" si="14"/>
        <v>62</v>
      </c>
      <c r="AB127">
        <f t="shared" si="18"/>
        <v>1485</v>
      </c>
      <c r="AC127">
        <f t="shared" si="13"/>
        <v>0</v>
      </c>
    </row>
    <row r="128" spans="1:29" ht="15.75" customHeight="1">
      <c r="A128" s="141">
        <f t="shared" si="17"/>
        <v>12</v>
      </c>
      <c r="B128" s="142" t="s">
        <v>43</v>
      </c>
      <c r="C128" s="142" t="s">
        <v>90</v>
      </c>
      <c r="D128" s="143">
        <f>71 +10</f>
        <v>81</v>
      </c>
      <c r="E128" s="144">
        <v>1.093</v>
      </c>
      <c r="F128" s="143">
        <f>71 +2.94</f>
        <v>73.94</v>
      </c>
      <c r="G128" s="419">
        <v>0.18</v>
      </c>
      <c r="H128" s="594">
        <f>71 +4.98</f>
        <v>75.98</v>
      </c>
      <c r="I128" s="593">
        <v>0.37</v>
      </c>
      <c r="J128" s="321" t="s">
        <v>215</v>
      </c>
      <c r="K128" s="389"/>
      <c r="Z128" s="358"/>
      <c r="AA128" s="510">
        <f t="shared" si="14"/>
        <v>63</v>
      </c>
      <c r="AB128">
        <f t="shared" si="18"/>
        <v>1506</v>
      </c>
      <c r="AC128">
        <f t="shared" si="13"/>
        <v>0</v>
      </c>
    </row>
    <row r="129" spans="1:29" ht="15.75" customHeight="1">
      <c r="A129" s="141">
        <f t="shared" si="17"/>
        <v>13</v>
      </c>
      <c r="B129" s="142" t="s">
        <v>44</v>
      </c>
      <c r="C129" s="142" t="s">
        <v>90</v>
      </c>
      <c r="D129" s="143">
        <f>75.8+7</f>
        <v>82.8</v>
      </c>
      <c r="E129" s="144">
        <v>0.42899999999999999</v>
      </c>
      <c r="F129" s="143">
        <f>75.8+4.22</f>
        <v>80.02</v>
      </c>
      <c r="G129" s="419">
        <v>8.4000000000000005E-2</v>
      </c>
      <c r="H129" s="594">
        <f>75.8+6.72</f>
        <v>82.52</v>
      </c>
      <c r="I129" s="593">
        <v>0.38500000000000001</v>
      </c>
      <c r="J129" s="321" t="s">
        <v>225</v>
      </c>
      <c r="K129" s="389"/>
      <c r="Z129" s="358"/>
      <c r="AA129" s="510">
        <f t="shared" si="14"/>
        <v>64</v>
      </c>
      <c r="AB129">
        <f t="shared" si="18"/>
        <v>1480</v>
      </c>
      <c r="AC129">
        <f t="shared" si="13"/>
        <v>0</v>
      </c>
    </row>
    <row r="130" spans="1:29" ht="15.75" customHeight="1">
      <c r="A130" s="141">
        <f t="shared" si="17"/>
        <v>14</v>
      </c>
      <c r="B130" s="142" t="s">
        <v>45</v>
      </c>
      <c r="C130" s="142" t="s">
        <v>90</v>
      </c>
      <c r="D130" s="143">
        <f>65.65 +4.3</f>
        <v>69.95</v>
      </c>
      <c r="E130" s="144">
        <v>0.25</v>
      </c>
      <c r="F130" s="143">
        <f>65.65 +2</f>
        <v>67.650000000000006</v>
      </c>
      <c r="G130" s="421">
        <v>4.9000000000000002E-2</v>
      </c>
      <c r="H130" s="594">
        <f>65.65 +4.39</f>
        <v>70.040000000000006</v>
      </c>
      <c r="I130" s="593">
        <v>0.26500000000000001</v>
      </c>
      <c r="J130" s="321" t="s">
        <v>225</v>
      </c>
      <c r="K130" s="389"/>
      <c r="Z130" s="358"/>
      <c r="AA130" s="510">
        <f t="shared" si="14"/>
        <v>65</v>
      </c>
      <c r="AB130">
        <f t="shared" si="18"/>
        <v>1475</v>
      </c>
      <c r="AC130">
        <f t="shared" ref="AC130:AC193" si="19">IF(COUNT(AA130:AB130)=2,0,-Z$49/500)</f>
        <v>0</v>
      </c>
    </row>
    <row r="131" spans="1:29" ht="15.75" customHeight="1">
      <c r="A131" s="141">
        <f t="shared" si="17"/>
        <v>15</v>
      </c>
      <c r="B131" s="142" t="s">
        <v>46</v>
      </c>
      <c r="C131" s="142" t="s">
        <v>90</v>
      </c>
      <c r="D131" s="146">
        <v>5.21</v>
      </c>
      <c r="E131" s="144">
        <v>0.38500000000000001</v>
      </c>
      <c r="F131" s="404">
        <v>1.1599999999999999</v>
      </c>
      <c r="G131" s="419">
        <v>0.09</v>
      </c>
      <c r="H131" s="595">
        <v>3.46</v>
      </c>
      <c r="I131" s="589">
        <v>0.14599999999999999</v>
      </c>
      <c r="J131" s="321" t="s">
        <v>215</v>
      </c>
      <c r="K131" s="389"/>
      <c r="Z131" s="358"/>
      <c r="AA131" s="510">
        <f t="shared" ref="AA131:AA194" si="20">AA130+1</f>
        <v>66</v>
      </c>
      <c r="AB131">
        <f t="shared" si="18"/>
        <v>1472</v>
      </c>
      <c r="AC131">
        <f t="shared" si="19"/>
        <v>0</v>
      </c>
    </row>
    <row r="132" spans="1:29" ht="15.75" customHeight="1">
      <c r="A132" s="141">
        <f t="shared" si="17"/>
        <v>16</v>
      </c>
      <c r="B132" s="142" t="s">
        <v>94</v>
      </c>
      <c r="C132" s="142" t="s">
        <v>47</v>
      </c>
      <c r="D132" s="143">
        <v>138.19999999999999</v>
      </c>
      <c r="E132" s="356">
        <v>440</v>
      </c>
      <c r="F132" s="404">
        <v>127.58</v>
      </c>
      <c r="G132" s="409">
        <v>66.882000000000005</v>
      </c>
      <c r="H132" s="547">
        <v>133.06</v>
      </c>
      <c r="I132" s="571">
        <v>227.74</v>
      </c>
      <c r="J132" s="321"/>
      <c r="K132" s="389"/>
      <c r="Z132" s="358"/>
      <c r="AA132" s="510">
        <f t="shared" si="20"/>
        <v>67</v>
      </c>
      <c r="AB132">
        <f t="shared" si="18"/>
        <v>1474</v>
      </c>
      <c r="AC132">
        <f t="shared" si="19"/>
        <v>0</v>
      </c>
    </row>
    <row r="133" spans="1:29" ht="15.75" customHeight="1">
      <c r="A133" s="141">
        <f t="shared" si="17"/>
        <v>17</v>
      </c>
      <c r="B133" s="142" t="s">
        <v>48</v>
      </c>
      <c r="C133" s="142" t="s">
        <v>47</v>
      </c>
      <c r="D133" s="143">
        <v>113.5</v>
      </c>
      <c r="E133" s="144">
        <v>3.7519999999999998</v>
      </c>
      <c r="F133" s="404">
        <v>107.29</v>
      </c>
      <c r="G133" s="421">
        <v>1.2430000000000001</v>
      </c>
      <c r="H133" s="548">
        <v>111.1</v>
      </c>
      <c r="I133" s="571">
        <v>2.5529999999999999</v>
      </c>
      <c r="J133" s="321"/>
      <c r="K133" s="389"/>
      <c r="Z133" s="358"/>
      <c r="AA133" s="510">
        <f t="shared" si="20"/>
        <v>68</v>
      </c>
      <c r="AB133">
        <f t="shared" si="18"/>
        <v>1474</v>
      </c>
      <c r="AC133">
        <f t="shared" si="19"/>
        <v>0</v>
      </c>
    </row>
    <row r="134" spans="1:29" ht="15.75" customHeight="1">
      <c r="A134" s="141">
        <f t="shared" si="17"/>
        <v>18</v>
      </c>
      <c r="B134" s="142" t="s">
        <v>49</v>
      </c>
      <c r="C134" s="142" t="s">
        <v>47</v>
      </c>
      <c r="D134" s="143">
        <v>225.4</v>
      </c>
      <c r="E134" s="148">
        <v>1.2</v>
      </c>
      <c r="F134" s="404">
        <v>222.8</v>
      </c>
      <c r="G134" s="421">
        <v>3.9E-2</v>
      </c>
      <c r="H134" s="550">
        <v>225.3</v>
      </c>
      <c r="I134" s="572">
        <v>0.56299999999999994</v>
      </c>
      <c r="J134" s="321"/>
      <c r="K134" s="389"/>
      <c r="Z134" s="358"/>
      <c r="AA134" s="510">
        <f t="shared" si="20"/>
        <v>69</v>
      </c>
      <c r="AB134">
        <f t="shared" si="18"/>
        <v>1494</v>
      </c>
      <c r="AC134">
        <f t="shared" si="19"/>
        <v>0</v>
      </c>
    </row>
    <row r="135" spans="1:29" ht="15.75" customHeight="1">
      <c r="A135" s="141">
        <f t="shared" si="17"/>
        <v>19</v>
      </c>
      <c r="B135" s="142" t="s">
        <v>50</v>
      </c>
      <c r="C135" s="142" t="s">
        <v>47</v>
      </c>
      <c r="D135" s="143">
        <v>224</v>
      </c>
      <c r="E135" s="144">
        <v>0.65100000000000002</v>
      </c>
      <c r="F135" s="404">
        <v>215.95</v>
      </c>
      <c r="G135" s="421">
        <v>7.4999999999999997E-2</v>
      </c>
      <c r="H135" s="548">
        <v>221.15</v>
      </c>
      <c r="I135" s="573">
        <v>0.36099999999999999</v>
      </c>
      <c r="J135" s="321"/>
      <c r="K135" s="389"/>
      <c r="Z135" s="358"/>
      <c r="AA135" s="510">
        <f t="shared" si="20"/>
        <v>70</v>
      </c>
      <c r="AB135">
        <f t="shared" si="18"/>
        <v>1532</v>
      </c>
      <c r="AC135">
        <f t="shared" si="19"/>
        <v>0</v>
      </c>
    </row>
    <row r="136" spans="1:29" ht="15.75" customHeight="1">
      <c r="A136" s="141">
        <f t="shared" si="17"/>
        <v>20</v>
      </c>
      <c r="B136" s="142" t="s">
        <v>51</v>
      </c>
      <c r="C136" s="142" t="s">
        <v>47</v>
      </c>
      <c r="D136" s="143">
        <v>196</v>
      </c>
      <c r="E136" s="144">
        <v>1.5820000000000001</v>
      </c>
      <c r="F136" s="404">
        <v>192.95</v>
      </c>
      <c r="G136" s="421">
        <v>1.1000000000000001</v>
      </c>
      <c r="H136" s="548">
        <v>196.06</v>
      </c>
      <c r="I136" s="571">
        <v>1.5920000000000001</v>
      </c>
      <c r="J136" s="321"/>
      <c r="K136" s="389"/>
      <c r="Z136" s="358"/>
      <c r="AA136" s="510">
        <f t="shared" si="20"/>
        <v>71</v>
      </c>
      <c r="AB136">
        <f t="shared" si="18"/>
        <v>1536</v>
      </c>
      <c r="AC136">
        <f t="shared" si="19"/>
        <v>0</v>
      </c>
    </row>
    <row r="137" spans="1:29" ht="15.75" customHeight="1" thickBot="1">
      <c r="A137" s="150">
        <f t="shared" si="17"/>
        <v>21</v>
      </c>
      <c r="B137" s="151" t="s">
        <v>52</v>
      </c>
      <c r="C137" s="151" t="s">
        <v>47</v>
      </c>
      <c r="D137" s="152">
        <v>174</v>
      </c>
      <c r="E137" s="153">
        <v>0.47899999999999998</v>
      </c>
      <c r="F137" s="422">
        <v>172.62</v>
      </c>
      <c r="G137" s="423">
        <v>9.8000000000000004E-2</v>
      </c>
      <c r="H137" s="551">
        <v>173.75</v>
      </c>
      <c r="I137" s="574">
        <v>0.221</v>
      </c>
      <c r="J137" s="370"/>
      <c r="K137" s="389"/>
      <c r="Z137" s="358"/>
      <c r="AA137" s="510">
        <f t="shared" si="20"/>
        <v>72</v>
      </c>
      <c r="AB137">
        <f t="shared" si="18"/>
        <v>1539</v>
      </c>
      <c r="AC137">
        <f t="shared" si="19"/>
        <v>0</v>
      </c>
    </row>
    <row r="138" spans="1:29" ht="15.75" customHeight="1">
      <c r="A138" s="138">
        <f t="shared" si="17"/>
        <v>22</v>
      </c>
      <c r="B138" s="139" t="s">
        <v>53</v>
      </c>
      <c r="C138" s="139" t="s">
        <v>47</v>
      </c>
      <c r="D138" s="140">
        <v>229.1</v>
      </c>
      <c r="E138" s="368">
        <v>0.79200000000000004</v>
      </c>
      <c r="F138" s="424">
        <v>219.01</v>
      </c>
      <c r="G138" s="425">
        <v>8.8999999999999996E-2</v>
      </c>
      <c r="H138" s="552">
        <v>221.4</v>
      </c>
      <c r="I138" s="575">
        <v>0.191</v>
      </c>
      <c r="J138" s="369"/>
      <c r="K138" s="389"/>
      <c r="Z138" s="358"/>
      <c r="AA138" s="510">
        <f t="shared" si="20"/>
        <v>73</v>
      </c>
      <c r="AB138">
        <f t="shared" si="18"/>
        <v>1546</v>
      </c>
      <c r="AC138">
        <f t="shared" si="19"/>
        <v>0</v>
      </c>
    </row>
    <row r="139" spans="1:29" ht="15.75" customHeight="1">
      <c r="A139" s="141">
        <f t="shared" si="17"/>
        <v>23</v>
      </c>
      <c r="B139" s="142" t="s">
        <v>54</v>
      </c>
      <c r="C139" s="142" t="s">
        <v>47</v>
      </c>
      <c r="D139" s="143">
        <v>249</v>
      </c>
      <c r="E139" s="144">
        <v>2.1240000000000001</v>
      </c>
      <c r="F139" s="404">
        <v>241.47</v>
      </c>
      <c r="G139" s="421">
        <v>0.72399999999999998</v>
      </c>
      <c r="H139" s="548">
        <v>245.9</v>
      </c>
      <c r="I139" s="573">
        <v>1.1970000000000001</v>
      </c>
      <c r="J139" s="321"/>
      <c r="K139" s="389"/>
      <c r="Z139" s="358"/>
      <c r="AA139" s="510">
        <f t="shared" si="20"/>
        <v>74</v>
      </c>
      <c r="AB139">
        <f t="shared" si="18"/>
        <v>1558</v>
      </c>
      <c r="AC139">
        <f t="shared" si="19"/>
        <v>0</v>
      </c>
    </row>
    <row r="140" spans="1:29" ht="15.75" customHeight="1">
      <c r="A140" s="141">
        <f t="shared" si="17"/>
        <v>24</v>
      </c>
      <c r="B140" s="142" t="s">
        <v>55</v>
      </c>
      <c r="C140" s="142" t="s">
        <v>95</v>
      </c>
      <c r="D140" s="143">
        <v>164.75</v>
      </c>
      <c r="E140" s="148">
        <v>5</v>
      </c>
      <c r="F140" s="404">
        <v>156.11000000000001</v>
      </c>
      <c r="G140" s="421">
        <v>0.98599999999999999</v>
      </c>
      <c r="H140" s="547">
        <v>156.44999999999999</v>
      </c>
      <c r="I140" s="573">
        <v>1.0900000000000001</v>
      </c>
      <c r="J140" s="321"/>
      <c r="K140" s="389"/>
      <c r="Z140" s="358"/>
      <c r="AA140" s="510">
        <f t="shared" si="20"/>
        <v>75</v>
      </c>
      <c r="AB140">
        <f t="shared" si="18"/>
        <v>1560</v>
      </c>
      <c r="AC140">
        <f t="shared" si="19"/>
        <v>0</v>
      </c>
    </row>
    <row r="141" spans="1:29" ht="15.75" customHeight="1">
      <c r="A141" s="141">
        <f t="shared" si="17"/>
        <v>25</v>
      </c>
      <c r="B141" s="142" t="s">
        <v>56</v>
      </c>
      <c r="C141" s="142" t="s">
        <v>95</v>
      </c>
      <c r="D141" s="143">
        <v>179.1</v>
      </c>
      <c r="E141" s="144">
        <v>4.2</v>
      </c>
      <c r="F141" s="426">
        <v>168.86</v>
      </c>
      <c r="G141" s="420">
        <v>0.47599999999999998</v>
      </c>
      <c r="H141" s="547">
        <v>174.6</v>
      </c>
      <c r="I141" s="571">
        <v>1.925</v>
      </c>
      <c r="J141" s="321"/>
      <c r="K141" s="389"/>
      <c r="Z141" s="358"/>
      <c r="AA141" s="510">
        <f t="shared" si="20"/>
        <v>76</v>
      </c>
      <c r="AB141">
        <f t="shared" si="18"/>
        <v>1563</v>
      </c>
      <c r="AC141">
        <f t="shared" si="19"/>
        <v>0</v>
      </c>
    </row>
    <row r="142" spans="1:29" ht="15.75" customHeight="1">
      <c r="A142" s="141">
        <f t="shared" si="17"/>
        <v>26</v>
      </c>
      <c r="B142" s="142" t="s">
        <v>57</v>
      </c>
      <c r="C142" s="142" t="s">
        <v>96</v>
      </c>
      <c r="D142" s="143">
        <v>326.56</v>
      </c>
      <c r="E142" s="144">
        <v>0.70099999999999996</v>
      </c>
      <c r="F142" s="407">
        <v>318.94</v>
      </c>
      <c r="G142" s="406">
        <v>0.222</v>
      </c>
      <c r="H142" s="548">
        <v>325.56</v>
      </c>
      <c r="I142" s="573">
        <v>0.70099999999999996</v>
      </c>
      <c r="J142" s="321"/>
      <c r="K142" s="389"/>
      <c r="Z142" s="358"/>
      <c r="AA142" s="510">
        <f t="shared" si="20"/>
        <v>77</v>
      </c>
      <c r="AB142">
        <f t="shared" si="18"/>
        <v>1568</v>
      </c>
      <c r="AC142">
        <f t="shared" si="19"/>
        <v>0</v>
      </c>
    </row>
    <row r="143" spans="1:29" ht="15.75" customHeight="1">
      <c r="A143" s="141">
        <f t="shared" si="17"/>
        <v>27</v>
      </c>
      <c r="B143" s="142" t="s">
        <v>58</v>
      </c>
      <c r="C143" s="142" t="s">
        <v>96</v>
      </c>
      <c r="D143" s="143">
        <v>129.19999999999999</v>
      </c>
      <c r="E143" s="144">
        <v>0.5</v>
      </c>
      <c r="F143" s="404">
        <v>125.89</v>
      </c>
      <c r="G143" s="421">
        <v>0.16400000000000001</v>
      </c>
      <c r="H143" s="548">
        <v>127.65</v>
      </c>
      <c r="I143" s="571">
        <v>0.34499999999999997</v>
      </c>
      <c r="J143" s="321"/>
      <c r="K143" s="389"/>
      <c r="Z143" s="358"/>
      <c r="AA143" s="510">
        <f t="shared" si="20"/>
        <v>78</v>
      </c>
      <c r="AB143">
        <f t="shared" si="18"/>
        <v>1575</v>
      </c>
      <c r="AC143">
        <f t="shared" si="19"/>
        <v>0</v>
      </c>
    </row>
    <row r="144" spans="1:29" ht="15.75" customHeight="1">
      <c r="A144" s="141">
        <f t="shared" si="17"/>
        <v>28</v>
      </c>
      <c r="B144" s="142" t="s">
        <v>59</v>
      </c>
      <c r="C144" s="142" t="s">
        <v>96</v>
      </c>
      <c r="D144" s="143">
        <v>282.76</v>
      </c>
      <c r="E144" s="144">
        <v>0.51300000000000001</v>
      </c>
      <c r="F144" s="404">
        <v>279.52999999999997</v>
      </c>
      <c r="G144" s="421">
        <v>0.16900000000000001</v>
      </c>
      <c r="H144" s="550">
        <v>282.77999999999997</v>
      </c>
      <c r="I144" s="571">
        <v>0.51300000000000001</v>
      </c>
      <c r="J144" s="321"/>
      <c r="K144" s="389"/>
      <c r="Z144" s="358"/>
      <c r="AA144" s="510">
        <f t="shared" si="20"/>
        <v>79</v>
      </c>
      <c r="AB144">
        <f t="shared" si="18"/>
        <v>1588</v>
      </c>
      <c r="AC144">
        <f t="shared" si="19"/>
        <v>0</v>
      </c>
    </row>
    <row r="145" spans="1:29" ht="15.75" customHeight="1">
      <c r="A145" s="141">
        <f t="shared" si="17"/>
        <v>29</v>
      </c>
      <c r="B145" s="142" t="s">
        <v>60</v>
      </c>
      <c r="C145" s="142" t="s">
        <v>96</v>
      </c>
      <c r="D145" s="143">
        <v>99</v>
      </c>
      <c r="E145" s="144">
        <v>2.6110000000000002</v>
      </c>
      <c r="F145" s="404">
        <v>93.8</v>
      </c>
      <c r="G145" s="421">
        <v>0.58899999999999997</v>
      </c>
      <c r="H145" s="548">
        <v>97.89</v>
      </c>
      <c r="I145" s="573">
        <v>2.028</v>
      </c>
      <c r="J145" s="321"/>
      <c r="K145" s="389"/>
      <c r="Z145" s="358"/>
      <c r="AA145" s="510">
        <f t="shared" si="20"/>
        <v>80</v>
      </c>
      <c r="AB145">
        <f t="shared" si="18"/>
        <v>1592</v>
      </c>
      <c r="AC145">
        <f t="shared" si="19"/>
        <v>0</v>
      </c>
    </row>
    <row r="146" spans="1:29" ht="15.75" customHeight="1">
      <c r="A146" s="141">
        <f t="shared" si="17"/>
        <v>30</v>
      </c>
      <c r="B146" s="142" t="s">
        <v>61</v>
      </c>
      <c r="C146" s="142" t="s">
        <v>96</v>
      </c>
      <c r="D146" s="143">
        <v>189.7</v>
      </c>
      <c r="E146" s="148">
        <v>0.08</v>
      </c>
      <c r="F146" s="404">
        <v>188.18</v>
      </c>
      <c r="G146" s="421">
        <v>0.03</v>
      </c>
      <c r="H146" s="548">
        <v>189.7</v>
      </c>
      <c r="I146" s="573">
        <v>0.08</v>
      </c>
      <c r="J146" s="321"/>
      <c r="K146" s="389"/>
      <c r="Z146" s="358"/>
      <c r="AA146" s="510">
        <f t="shared" si="20"/>
        <v>81</v>
      </c>
      <c r="AB146">
        <f t="shared" si="18"/>
        <v>1600</v>
      </c>
      <c r="AC146">
        <f t="shared" si="19"/>
        <v>0</v>
      </c>
    </row>
    <row r="147" spans="1:29" ht="15.75" customHeight="1">
      <c r="A147" s="141">
        <f t="shared" si="17"/>
        <v>31</v>
      </c>
      <c r="B147" s="142" t="s">
        <v>62</v>
      </c>
      <c r="C147" s="142" t="s">
        <v>96</v>
      </c>
      <c r="D147" s="143">
        <v>171.16</v>
      </c>
      <c r="E147" s="144">
        <v>9.6000000000000002E-2</v>
      </c>
      <c r="F147" s="402">
        <v>169.19</v>
      </c>
      <c r="G147" s="403">
        <v>4.8000000000000001E-2</v>
      </c>
      <c r="H147" s="548">
        <v>171.46</v>
      </c>
      <c r="I147" s="573">
        <v>0.10299999999999999</v>
      </c>
      <c r="J147" s="321"/>
      <c r="K147" s="389"/>
      <c r="Z147" s="358"/>
      <c r="AA147" s="510">
        <f t="shared" si="20"/>
        <v>82</v>
      </c>
      <c r="AB147">
        <f t="shared" si="18"/>
        <v>1603</v>
      </c>
      <c r="AC147">
        <f t="shared" si="19"/>
        <v>0</v>
      </c>
    </row>
    <row r="148" spans="1:29" ht="15.75" customHeight="1">
      <c r="A148" s="141">
        <f t="shared" si="17"/>
        <v>32</v>
      </c>
      <c r="B148" s="142" t="s">
        <v>63</v>
      </c>
      <c r="C148" s="142" t="s">
        <v>97</v>
      </c>
      <c r="D148" s="143">
        <v>142.6</v>
      </c>
      <c r="E148" s="356">
        <v>9.157</v>
      </c>
      <c r="F148" s="404">
        <v>137.94999999999999</v>
      </c>
      <c r="G148" s="409">
        <v>1.8169999999999999</v>
      </c>
      <c r="H148" s="545">
        <v>140.02000000000001</v>
      </c>
      <c r="I148" s="576">
        <v>2.758</v>
      </c>
      <c r="J148" s="321"/>
      <c r="K148" s="389"/>
      <c r="Z148" s="358"/>
      <c r="AA148" s="510">
        <f t="shared" si="20"/>
        <v>83</v>
      </c>
      <c r="AB148">
        <f t="shared" si="18"/>
        <v>1600</v>
      </c>
      <c r="AC148">
        <f t="shared" si="19"/>
        <v>0</v>
      </c>
    </row>
    <row r="149" spans="1:29" ht="15.75" customHeight="1">
      <c r="A149" s="141">
        <f t="shared" si="17"/>
        <v>33</v>
      </c>
      <c r="B149" s="142" t="s">
        <v>64</v>
      </c>
      <c r="C149" s="142" t="s">
        <v>97</v>
      </c>
      <c r="D149" s="143">
        <v>239.5</v>
      </c>
      <c r="E149" s="144">
        <v>2.6720000000000002</v>
      </c>
      <c r="F149" s="404">
        <v>235.17</v>
      </c>
      <c r="G149" s="419">
        <v>0.64900000000000002</v>
      </c>
      <c r="H149" s="545">
        <v>235.86</v>
      </c>
      <c r="I149" s="576">
        <v>0.89600000000000002</v>
      </c>
      <c r="J149" s="321"/>
      <c r="K149" s="389"/>
      <c r="Z149" s="358"/>
      <c r="AA149" s="510">
        <f t="shared" si="20"/>
        <v>84</v>
      </c>
      <c r="AB149">
        <f t="shared" si="18"/>
        <v>1597</v>
      </c>
      <c r="AC149">
        <f t="shared" si="19"/>
        <v>0</v>
      </c>
    </row>
    <row r="150" spans="1:29" ht="15.75" customHeight="1">
      <c r="A150" s="141">
        <f t="shared" si="17"/>
        <v>34</v>
      </c>
      <c r="B150" s="142" t="s">
        <v>65</v>
      </c>
      <c r="C150" s="142" t="s">
        <v>98</v>
      </c>
      <c r="D150" s="143">
        <v>120.5</v>
      </c>
      <c r="E150" s="144">
        <v>3.677</v>
      </c>
      <c r="F150" s="404">
        <v>118.93</v>
      </c>
      <c r="G150" s="421">
        <v>1.0449999999999999</v>
      </c>
      <c r="H150" s="547">
        <v>120.45</v>
      </c>
      <c r="I150" s="571">
        <v>3.5830000000000002</v>
      </c>
      <c r="J150" s="321"/>
      <c r="K150" s="389"/>
      <c r="Z150" s="358"/>
      <c r="AA150" s="510">
        <f t="shared" si="20"/>
        <v>85</v>
      </c>
      <c r="AB150">
        <f t="shared" si="18"/>
        <v>1593</v>
      </c>
      <c r="AC150">
        <f t="shared" si="19"/>
        <v>0</v>
      </c>
    </row>
    <row r="151" spans="1:29" ht="15.75" customHeight="1">
      <c r="A151" s="141">
        <f t="shared" si="17"/>
        <v>35</v>
      </c>
      <c r="B151" s="142" t="s">
        <v>66</v>
      </c>
      <c r="C151" s="142" t="s">
        <v>99</v>
      </c>
      <c r="D151" s="143">
        <v>110.56</v>
      </c>
      <c r="E151" s="144">
        <v>2.75</v>
      </c>
      <c r="F151" s="404">
        <v>108.08</v>
      </c>
      <c r="G151" s="421">
        <v>0.53500000000000003</v>
      </c>
      <c r="H151" s="547">
        <v>109.56</v>
      </c>
      <c r="I151" s="571">
        <v>1.357</v>
      </c>
      <c r="J151" s="321"/>
      <c r="K151" s="389"/>
      <c r="Z151" s="358"/>
      <c r="AA151" s="510">
        <f t="shared" si="20"/>
        <v>86</v>
      </c>
      <c r="AB151">
        <f t="shared" si="18"/>
        <v>1594</v>
      </c>
      <c r="AC151">
        <f t="shared" si="19"/>
        <v>0</v>
      </c>
    </row>
    <row r="152" spans="1:29" ht="15.75" customHeight="1">
      <c r="A152" s="141">
        <f t="shared" si="17"/>
        <v>36</v>
      </c>
      <c r="B152" s="142" t="s">
        <v>67</v>
      </c>
      <c r="C152" s="142" t="s">
        <v>100</v>
      </c>
      <c r="D152" s="143">
        <v>72</v>
      </c>
      <c r="E152" s="356">
        <v>38.036000000000001</v>
      </c>
      <c r="F152" s="402">
        <v>61.05</v>
      </c>
      <c r="G152" s="403">
        <v>16.39</v>
      </c>
      <c r="H152" s="561">
        <v>68.44</v>
      </c>
      <c r="I152" s="570">
        <v>29.771999999999998</v>
      </c>
      <c r="J152" s="321"/>
      <c r="K152" s="389"/>
      <c r="Z152" s="358"/>
      <c r="AA152" s="510">
        <f t="shared" si="20"/>
        <v>87</v>
      </c>
      <c r="AB152">
        <f t="shared" si="18"/>
        <v>1592</v>
      </c>
      <c r="AC152">
        <f t="shared" si="19"/>
        <v>0</v>
      </c>
    </row>
    <row r="153" spans="1:29" ht="15.75" customHeight="1">
      <c r="A153" s="141">
        <f t="shared" si="17"/>
        <v>37</v>
      </c>
      <c r="B153" s="142" t="s">
        <v>68</v>
      </c>
      <c r="C153" s="142" t="s">
        <v>100</v>
      </c>
      <c r="D153" s="143">
        <v>185</v>
      </c>
      <c r="E153" s="356">
        <v>412.66</v>
      </c>
      <c r="F153" s="402">
        <v>174</v>
      </c>
      <c r="G153" s="403">
        <v>280.714</v>
      </c>
      <c r="H153" s="545">
        <v>173.32</v>
      </c>
      <c r="I153" s="570">
        <v>274.36099999999999</v>
      </c>
      <c r="J153" s="321"/>
      <c r="K153" s="389"/>
      <c r="Z153" s="358"/>
      <c r="AA153" s="510">
        <f t="shared" si="20"/>
        <v>88</v>
      </c>
      <c r="AB153">
        <f t="shared" si="18"/>
        <v>1595</v>
      </c>
      <c r="AC153">
        <f t="shared" si="19"/>
        <v>0</v>
      </c>
    </row>
    <row r="154" spans="1:29" ht="15.75" customHeight="1" thickBot="1">
      <c r="A154" s="150">
        <v>38</v>
      </c>
      <c r="B154" s="151" t="s">
        <v>69</v>
      </c>
      <c r="C154" s="151" t="s">
        <v>101</v>
      </c>
      <c r="D154" s="152">
        <v>231</v>
      </c>
      <c r="E154" s="357">
        <v>31.8</v>
      </c>
      <c r="F154" s="410">
        <v>230.65</v>
      </c>
      <c r="G154" s="411">
        <v>22.28</v>
      </c>
      <c r="H154" s="562">
        <v>230.1</v>
      </c>
      <c r="I154" s="596">
        <v>18.350000000000001</v>
      </c>
      <c r="J154" s="321"/>
      <c r="K154" s="389"/>
      <c r="Z154" s="358"/>
      <c r="AA154" s="510">
        <f t="shared" si="20"/>
        <v>89</v>
      </c>
      <c r="AB154">
        <f t="shared" si="18"/>
        <v>1605.65</v>
      </c>
      <c r="AC154">
        <f t="shared" si="19"/>
        <v>0</v>
      </c>
    </row>
    <row r="155" spans="1:29" ht="15.75" customHeight="1" thickBot="1">
      <c r="A155" s="154"/>
      <c r="B155" s="155" t="s">
        <v>70</v>
      </c>
      <c r="C155" s="155"/>
      <c r="D155" s="156"/>
      <c r="E155" s="157">
        <f>SUM(E117:E154)</f>
        <v>1860.202</v>
      </c>
      <c r="F155" s="412"/>
      <c r="G155" s="374">
        <f>SUM(G117:G154)</f>
        <v>967.70799999999986</v>
      </c>
      <c r="H155" s="553"/>
      <c r="I155" s="470">
        <f>SUM(I117:I154)</f>
        <v>1030.2539999999999</v>
      </c>
      <c r="J155" s="158">
        <f>+I155-G155</f>
        <v>62.546000000000049</v>
      </c>
      <c r="K155" s="389"/>
      <c r="Z155" s="358"/>
      <c r="AA155" s="510">
        <f t="shared" si="20"/>
        <v>90</v>
      </c>
      <c r="AB155">
        <f t="shared" si="18"/>
        <v>1617</v>
      </c>
      <c r="AC155">
        <f t="shared" si="19"/>
        <v>0</v>
      </c>
    </row>
    <row r="156" spans="1:29" ht="15.75" customHeight="1" thickBot="1">
      <c r="A156" s="159" t="s">
        <v>71</v>
      </c>
      <c r="B156" s="155" t="s">
        <v>72</v>
      </c>
      <c r="C156" s="155"/>
      <c r="D156" s="156"/>
      <c r="E156" s="157"/>
      <c r="F156" s="427"/>
      <c r="G156" s="428">
        <v>1</v>
      </c>
      <c r="H156" s="553"/>
      <c r="I156" s="471">
        <f>+I155/G155</f>
        <v>1.0646331331352019</v>
      </c>
      <c r="J156" s="160">
        <f>+I156-G156</f>
        <v>6.4633133135201914E-2</v>
      </c>
      <c r="K156" s="389"/>
      <c r="Z156" s="358"/>
      <c r="AA156" s="510">
        <f t="shared" si="20"/>
        <v>91</v>
      </c>
      <c r="AB156">
        <f t="shared" ref="AB156:AB185" si="21">IF(P7="tad","tad",P7)</f>
        <v>1622.7</v>
      </c>
      <c r="AC156">
        <f t="shared" si="19"/>
        <v>0</v>
      </c>
    </row>
    <row r="157" spans="1:29" ht="16.5" thickBot="1">
      <c r="A157" s="200"/>
      <c r="B157" s="199"/>
      <c r="C157" s="198"/>
      <c r="D157" s="162"/>
      <c r="E157" s="163">
        <v>1</v>
      </c>
      <c r="F157" s="429" t="s">
        <v>71</v>
      </c>
      <c r="G157" s="375">
        <f>+G155/E155*100%</f>
        <v>0.5202166216357148</v>
      </c>
      <c r="H157" s="484"/>
      <c r="I157" s="472">
        <f>+I155/E155</f>
        <v>0.55383985180104089</v>
      </c>
      <c r="J157" s="160">
        <f>+I157-E157</f>
        <v>-0.44616014819895911</v>
      </c>
      <c r="K157" s="389"/>
      <c r="Z157" s="358"/>
      <c r="AA157" s="510">
        <f t="shared" si="20"/>
        <v>92</v>
      </c>
      <c r="AB157">
        <f t="shared" si="21"/>
        <v>1631</v>
      </c>
      <c r="AC157">
        <f t="shared" si="19"/>
        <v>0</v>
      </c>
    </row>
    <row r="158" spans="1:29" ht="15.75">
      <c r="A158" s="161"/>
      <c r="B158" s="162"/>
      <c r="C158" s="162"/>
      <c r="D158" s="162"/>
      <c r="E158" s="162"/>
      <c r="F158" s="377"/>
      <c r="G158" s="429"/>
      <c r="H158" s="484"/>
      <c r="I158" s="473"/>
      <c r="J158" s="165"/>
      <c r="K158" s="389"/>
      <c r="Z158" s="358"/>
      <c r="AA158" s="510">
        <f t="shared" si="20"/>
        <v>93</v>
      </c>
      <c r="AB158">
        <f t="shared" si="21"/>
        <v>1637</v>
      </c>
      <c r="AC158">
        <f t="shared" si="19"/>
        <v>0</v>
      </c>
    </row>
    <row r="159" spans="1:29" ht="15.75">
      <c r="A159" s="161"/>
      <c r="B159" s="162"/>
      <c r="C159" s="162"/>
      <c r="D159" s="162"/>
      <c r="E159" s="164">
        <f>+F160/E155*100</f>
        <v>0.2684117101261046</v>
      </c>
      <c r="F159" s="377"/>
      <c r="G159" s="429"/>
      <c r="H159" s="484"/>
      <c r="I159" s="473"/>
      <c r="K159" s="389"/>
      <c r="Z159" s="358"/>
      <c r="AA159" s="510">
        <f t="shared" si="20"/>
        <v>94</v>
      </c>
      <c r="AB159">
        <f t="shared" si="21"/>
        <v>1641.6</v>
      </c>
      <c r="AC159">
        <f t="shared" si="19"/>
        <v>0</v>
      </c>
    </row>
    <row r="160" spans="1:29" ht="15.75">
      <c r="A160" s="162"/>
      <c r="B160" s="162"/>
      <c r="C160" s="162"/>
      <c r="D160" s="162"/>
      <c r="E160" s="162"/>
      <c r="F160" s="430">
        <f>+G147+G146+G145+G144+G143+G142+G140+G139+G138+G137+G136+G134+G131+G125+G124</f>
        <v>4.9930000000000003</v>
      </c>
      <c r="G160" s="429">
        <f>+G158/G155*100</f>
        <v>0</v>
      </c>
      <c r="H160" s="484" t="s">
        <v>71</v>
      </c>
      <c r="I160" s="473" t="s">
        <v>71</v>
      </c>
      <c r="K160" s="389"/>
      <c r="Z160" s="358"/>
      <c r="AA160" s="510">
        <f t="shared" si="20"/>
        <v>95</v>
      </c>
      <c r="AB160">
        <f t="shared" si="21"/>
        <v>1650</v>
      </c>
      <c r="AC160">
        <f t="shared" si="19"/>
        <v>0</v>
      </c>
    </row>
    <row r="161" spans="1:29" ht="15.75">
      <c r="A161" s="176"/>
      <c r="B161" s="176"/>
      <c r="C161" s="201"/>
      <c r="D161" s="176"/>
      <c r="E161" s="176"/>
      <c r="F161" s="431"/>
      <c r="G161" s="432"/>
      <c r="H161" s="554"/>
      <c r="I161" s="474"/>
      <c r="K161" s="389"/>
      <c r="Z161" s="358"/>
      <c r="AA161" s="510">
        <f t="shared" si="20"/>
        <v>96</v>
      </c>
      <c r="AB161">
        <f t="shared" si="21"/>
        <v>1662</v>
      </c>
      <c r="AC161">
        <f t="shared" si="19"/>
        <v>0</v>
      </c>
    </row>
    <row r="162" spans="1:29" ht="21.75">
      <c r="A162" s="237"/>
      <c r="B162" s="236"/>
      <c r="C162" s="236"/>
      <c r="D162" s="236"/>
      <c r="E162" s="236"/>
      <c r="F162" s="376"/>
      <c r="G162" s="376"/>
      <c r="H162" s="475"/>
      <c r="I162" s="475"/>
      <c r="K162" s="389"/>
      <c r="Z162" s="358"/>
      <c r="AA162" s="510">
        <f t="shared" si="20"/>
        <v>97</v>
      </c>
      <c r="AB162">
        <f t="shared" si="21"/>
        <v>1690</v>
      </c>
      <c r="AC162">
        <f t="shared" si="19"/>
        <v>0</v>
      </c>
    </row>
    <row r="163" spans="1:29">
      <c r="F163" s="377"/>
      <c r="G163" s="377"/>
      <c r="H163" s="484"/>
      <c r="I163" s="484"/>
      <c r="K163" s="389"/>
      <c r="Z163" s="358"/>
      <c r="AA163" s="510">
        <f t="shared" si="20"/>
        <v>98</v>
      </c>
      <c r="AB163">
        <f t="shared" si="21"/>
        <v>1739</v>
      </c>
      <c r="AC163">
        <f t="shared" si="19"/>
        <v>0</v>
      </c>
    </row>
    <row r="164" spans="1:29" ht="13.5" thickBot="1">
      <c r="F164" s="377"/>
      <c r="G164" s="377"/>
      <c r="H164" s="484"/>
      <c r="I164" s="484"/>
      <c r="K164" s="389"/>
      <c r="Z164" s="358"/>
      <c r="AA164" s="510">
        <f t="shared" si="20"/>
        <v>99</v>
      </c>
      <c r="AB164">
        <f t="shared" si="21"/>
        <v>1732</v>
      </c>
      <c r="AC164">
        <f t="shared" si="19"/>
        <v>0</v>
      </c>
    </row>
    <row r="165" spans="1:29" ht="15.75">
      <c r="A165" s="605" t="s">
        <v>20</v>
      </c>
      <c r="B165" s="608" t="s">
        <v>21</v>
      </c>
      <c r="C165" s="608" t="s">
        <v>85</v>
      </c>
      <c r="D165" s="231" t="s">
        <v>22</v>
      </c>
      <c r="E165" s="232"/>
      <c r="F165" s="394" t="s">
        <v>23</v>
      </c>
      <c r="G165" s="395"/>
      <c r="H165" s="555" t="s">
        <v>24</v>
      </c>
      <c r="I165" s="479"/>
      <c r="J165" s="382"/>
      <c r="K165" s="389"/>
      <c r="Z165" s="358"/>
      <c r="AA165" s="510">
        <f t="shared" si="20"/>
        <v>100</v>
      </c>
      <c r="AB165">
        <f t="shared" si="21"/>
        <v>1731</v>
      </c>
      <c r="AC165">
        <f t="shared" si="19"/>
        <v>0</v>
      </c>
    </row>
    <row r="166" spans="1:29" ht="15.75">
      <c r="A166" s="606"/>
      <c r="B166" s="609"/>
      <c r="C166" s="609"/>
      <c r="D166" s="4" t="s">
        <v>26</v>
      </c>
      <c r="E166" s="4" t="s">
        <v>27</v>
      </c>
      <c r="F166" s="396" t="s">
        <v>26</v>
      </c>
      <c r="G166" s="397" t="s">
        <v>27</v>
      </c>
      <c r="H166" s="556" t="s">
        <v>26</v>
      </c>
      <c r="I166" s="480" t="s">
        <v>27</v>
      </c>
      <c r="J166" s="82"/>
      <c r="K166" s="389"/>
      <c r="Z166" s="358"/>
      <c r="AA166" s="510">
        <f t="shared" si="20"/>
        <v>101</v>
      </c>
      <c r="AB166">
        <f t="shared" si="21"/>
        <v>1733.6</v>
      </c>
      <c r="AC166">
        <f t="shared" si="19"/>
        <v>0</v>
      </c>
    </row>
    <row r="167" spans="1:29" ht="19.5" thickBot="1">
      <c r="A167" s="607"/>
      <c r="B167" s="610"/>
      <c r="C167" s="610"/>
      <c r="D167" s="2" t="s">
        <v>28</v>
      </c>
      <c r="E167" s="2" t="s">
        <v>29</v>
      </c>
      <c r="F167" s="398" t="s">
        <v>28</v>
      </c>
      <c r="G167" s="399" t="s">
        <v>29</v>
      </c>
      <c r="H167" s="557" t="s">
        <v>28</v>
      </c>
      <c r="I167" s="481" t="s">
        <v>29</v>
      </c>
      <c r="J167" s="82"/>
      <c r="K167" s="389"/>
      <c r="Z167" s="358"/>
      <c r="AA167" s="510">
        <f t="shared" si="20"/>
        <v>102</v>
      </c>
      <c r="AB167">
        <f t="shared" si="21"/>
        <v>1739</v>
      </c>
      <c r="AC167">
        <f t="shared" si="19"/>
        <v>0</v>
      </c>
    </row>
    <row r="168" spans="1:29" ht="16.5" thickBot="1">
      <c r="A168" s="70">
        <v>1</v>
      </c>
      <c r="B168" s="21">
        <v>2</v>
      </c>
      <c r="C168" s="21">
        <v>3</v>
      </c>
      <c r="D168" s="21">
        <v>4</v>
      </c>
      <c r="E168" s="21">
        <v>5</v>
      </c>
      <c r="F168" s="400">
        <v>6</v>
      </c>
      <c r="G168" s="400">
        <v>7</v>
      </c>
      <c r="H168" s="467">
        <v>8</v>
      </c>
      <c r="I168" s="482">
        <v>9</v>
      </c>
      <c r="J168" s="383"/>
      <c r="K168" s="389"/>
      <c r="Z168" s="358"/>
      <c r="AA168" s="510">
        <f t="shared" si="20"/>
        <v>103</v>
      </c>
      <c r="AB168">
        <f t="shared" si="21"/>
        <v>1739</v>
      </c>
      <c r="AC168">
        <f t="shared" si="19"/>
        <v>0</v>
      </c>
    </row>
    <row r="169" spans="1:29" ht="15.75">
      <c r="A169" s="138">
        <v>1</v>
      </c>
      <c r="B169" s="139" t="s">
        <v>31</v>
      </c>
      <c r="C169" s="139" t="s">
        <v>86</v>
      </c>
      <c r="D169" s="140">
        <v>55.75</v>
      </c>
      <c r="E169" s="355">
        <v>37.046999999999997</v>
      </c>
      <c r="F169" s="417">
        <v>53.24</v>
      </c>
      <c r="G169" s="401">
        <v>21.414000000000001</v>
      </c>
      <c r="H169" s="544">
        <v>50.78</v>
      </c>
      <c r="I169" s="569">
        <v>9.1460000000000008</v>
      </c>
      <c r="J169" s="560" t="s">
        <v>230</v>
      </c>
      <c r="K169" s="389" t="b">
        <f t="shared" ref="K169:K199" si="22">IF(F169&gt;H169,G169&gt;I169,(IF(F169&lt;H169,G169&lt;I169,(IF(F169=H169,G169=I169,(IF(F169&gt;H169,G169&lt;I169,"")))))))</f>
        <v>1</v>
      </c>
      <c r="Z169" s="358"/>
      <c r="AA169" s="510">
        <f t="shared" si="20"/>
        <v>104</v>
      </c>
      <c r="AB169">
        <f t="shared" si="21"/>
        <v>1742</v>
      </c>
      <c r="AC169">
        <f t="shared" si="19"/>
        <v>0</v>
      </c>
    </row>
    <row r="170" spans="1:29" ht="15.75">
      <c r="A170" s="141">
        <f>+A169+1</f>
        <v>2</v>
      </c>
      <c r="B170" s="142" t="s">
        <v>32</v>
      </c>
      <c r="C170" s="142" t="s">
        <v>86</v>
      </c>
      <c r="D170" s="143">
        <v>339.5</v>
      </c>
      <c r="E170" s="356">
        <v>7.77</v>
      </c>
      <c r="F170" s="418">
        <v>338.77</v>
      </c>
      <c r="G170" s="403">
        <v>7.157</v>
      </c>
      <c r="H170" s="545">
        <v>339.46</v>
      </c>
      <c r="I170" s="570">
        <v>7.7350000000000003</v>
      </c>
      <c r="J170" s="321"/>
      <c r="K170" s="389" t="b">
        <f t="shared" si="22"/>
        <v>1</v>
      </c>
      <c r="Z170" s="358"/>
      <c r="AA170" s="510">
        <f t="shared" si="20"/>
        <v>105</v>
      </c>
      <c r="AB170">
        <f t="shared" si="21"/>
        <v>1749</v>
      </c>
      <c r="AC170">
        <f t="shared" si="19"/>
        <v>0</v>
      </c>
    </row>
    <row r="171" spans="1:29" ht="15.75">
      <c r="A171" s="141">
        <f t="shared" ref="A171:A205" si="23">+A170+1</f>
        <v>3</v>
      </c>
      <c r="B171" s="142" t="s">
        <v>33</v>
      </c>
      <c r="C171" s="142" t="s">
        <v>87</v>
      </c>
      <c r="D171" s="143">
        <v>77.5</v>
      </c>
      <c r="E171" s="356">
        <v>49.02</v>
      </c>
      <c r="F171" s="402">
        <v>68.53</v>
      </c>
      <c r="G171" s="403">
        <v>8.9860000000000007</v>
      </c>
      <c r="H171" s="545">
        <v>73.06</v>
      </c>
      <c r="I171" s="570">
        <v>24.59</v>
      </c>
      <c r="J171" s="321"/>
      <c r="K171" s="389" t="b">
        <f t="shared" si="22"/>
        <v>1</v>
      </c>
      <c r="Z171" s="358"/>
      <c r="AA171" s="510">
        <f t="shared" si="20"/>
        <v>106</v>
      </c>
      <c r="AB171">
        <f t="shared" si="21"/>
        <v>1763.884</v>
      </c>
      <c r="AC171">
        <f t="shared" si="19"/>
        <v>0</v>
      </c>
    </row>
    <row r="172" spans="1:29" ht="15.75">
      <c r="A172" s="141">
        <f t="shared" si="23"/>
        <v>4</v>
      </c>
      <c r="B172" s="142" t="s">
        <v>34</v>
      </c>
      <c r="C172" s="142" t="s">
        <v>88</v>
      </c>
      <c r="D172" s="143">
        <v>463.3</v>
      </c>
      <c r="E172" s="356">
        <v>49.9</v>
      </c>
      <c r="F172" s="404">
        <v>461.79</v>
      </c>
      <c r="G172" s="419">
        <v>21.04</v>
      </c>
      <c r="H172" s="546">
        <v>461.75</v>
      </c>
      <c r="I172" s="577">
        <v>20.399999999999999</v>
      </c>
      <c r="J172" s="318"/>
      <c r="K172" s="389" t="b">
        <f t="shared" si="22"/>
        <v>1</v>
      </c>
      <c r="Z172" s="358"/>
      <c r="AA172" s="510">
        <f t="shared" si="20"/>
        <v>107</v>
      </c>
      <c r="AB172">
        <f t="shared" si="21"/>
        <v>1765.6179999999999</v>
      </c>
      <c r="AC172">
        <f t="shared" si="19"/>
        <v>0</v>
      </c>
    </row>
    <row r="173" spans="1:29" ht="15.75">
      <c r="A173" s="141">
        <f t="shared" si="23"/>
        <v>5</v>
      </c>
      <c r="B173" s="142" t="s">
        <v>35</v>
      </c>
      <c r="C173" s="142" t="s">
        <v>89</v>
      </c>
      <c r="D173" s="143">
        <v>207</v>
      </c>
      <c r="E173" s="356">
        <v>9.5030000000000001</v>
      </c>
      <c r="F173" s="404">
        <v>196.62</v>
      </c>
      <c r="G173" s="420">
        <v>3.0750000000000002</v>
      </c>
      <c r="H173" s="547">
        <v>199.58</v>
      </c>
      <c r="I173" s="589">
        <v>3.0550000000000002</v>
      </c>
      <c r="J173" s="321"/>
      <c r="K173" s="389" t="b">
        <f t="shared" si="22"/>
        <v>0</v>
      </c>
      <c r="Z173" s="358"/>
      <c r="AA173" s="510">
        <f t="shared" si="20"/>
        <v>108</v>
      </c>
      <c r="AB173">
        <f t="shared" si="21"/>
        <v>1734.702</v>
      </c>
      <c r="AC173">
        <f t="shared" si="19"/>
        <v>0</v>
      </c>
    </row>
    <row r="174" spans="1:29" ht="15.75">
      <c r="A174" s="141">
        <f t="shared" si="23"/>
        <v>6</v>
      </c>
      <c r="B174" s="142" t="s">
        <v>36</v>
      </c>
      <c r="C174" s="142" t="s">
        <v>89</v>
      </c>
      <c r="D174" s="143">
        <v>320</v>
      </c>
      <c r="E174" s="144">
        <v>5.1509999999999998</v>
      </c>
      <c r="F174" s="404">
        <v>311.66000000000003</v>
      </c>
      <c r="G174" s="420">
        <v>1.7130000000000001</v>
      </c>
      <c r="H174" s="592">
        <v>311.87</v>
      </c>
      <c r="I174" s="589">
        <v>1.7829999999999999</v>
      </c>
      <c r="J174" s="321"/>
      <c r="K174" s="389" t="b">
        <f t="shared" si="22"/>
        <v>1</v>
      </c>
      <c r="Z174" s="358"/>
      <c r="AA174" s="510">
        <f t="shared" si="20"/>
        <v>109</v>
      </c>
      <c r="AB174">
        <f t="shared" si="21"/>
        <v>1802.03</v>
      </c>
      <c r="AC174">
        <f t="shared" si="19"/>
        <v>0</v>
      </c>
    </row>
    <row r="175" spans="1:29" ht="15.75">
      <c r="A175" s="141">
        <f t="shared" si="23"/>
        <v>7</v>
      </c>
      <c r="B175" s="142" t="s">
        <v>37</v>
      </c>
      <c r="C175" s="142" t="s">
        <v>90</v>
      </c>
      <c r="D175" s="143">
        <v>90</v>
      </c>
      <c r="E175" s="356">
        <v>723.16</v>
      </c>
      <c r="F175" s="404">
        <v>84.06</v>
      </c>
      <c r="G175" s="421">
        <v>485.46</v>
      </c>
      <c r="H175" s="545">
        <v>81.2</v>
      </c>
      <c r="I175" s="590">
        <v>383.81599999999997</v>
      </c>
      <c r="J175" s="318"/>
      <c r="K175" s="389" t="b">
        <f t="shared" si="22"/>
        <v>1</v>
      </c>
      <c r="Z175" s="358"/>
      <c r="AA175" s="510">
        <f t="shared" si="20"/>
        <v>110</v>
      </c>
      <c r="AB175">
        <f t="shared" si="21"/>
        <v>1792.384</v>
      </c>
      <c r="AC175">
        <f t="shared" si="19"/>
        <v>0</v>
      </c>
    </row>
    <row r="176" spans="1:29" ht="15.75">
      <c r="A176" s="141">
        <f t="shared" si="23"/>
        <v>8</v>
      </c>
      <c r="B176" s="142" t="s">
        <v>38</v>
      </c>
      <c r="C176" s="142" t="s">
        <v>91</v>
      </c>
      <c r="D176" s="143">
        <v>120.5</v>
      </c>
      <c r="E176" s="144">
        <v>2.0920000000000001</v>
      </c>
      <c r="F176" s="404">
        <v>114.9</v>
      </c>
      <c r="G176" s="419">
        <v>0.28799999999999998</v>
      </c>
      <c r="H176" s="591">
        <v>115.54</v>
      </c>
      <c r="I176" s="589">
        <v>0.46200000000000002</v>
      </c>
      <c r="J176" s="321" t="s">
        <v>215</v>
      </c>
      <c r="K176" s="389" t="b">
        <f t="shared" si="22"/>
        <v>1</v>
      </c>
      <c r="Z176" s="358"/>
      <c r="AA176" s="510">
        <f t="shared" si="20"/>
        <v>111</v>
      </c>
      <c r="AB176">
        <f t="shared" si="21"/>
        <v>1782.787</v>
      </c>
      <c r="AC176">
        <f t="shared" si="19"/>
        <v>0</v>
      </c>
    </row>
    <row r="177" spans="1:29" ht="15.75">
      <c r="A177" s="141">
        <f t="shared" si="23"/>
        <v>9</v>
      </c>
      <c r="B177" s="142" t="s">
        <v>39</v>
      </c>
      <c r="C177" s="142" t="s">
        <v>91</v>
      </c>
      <c r="D177" s="143">
        <v>120.8</v>
      </c>
      <c r="E177" s="144">
        <v>2.3530000000000002</v>
      </c>
      <c r="F177" s="404">
        <v>113.61</v>
      </c>
      <c r="G177" s="419">
        <v>0.35699999999999998</v>
      </c>
      <c r="H177" s="591">
        <v>119.33</v>
      </c>
      <c r="I177" s="589">
        <v>1.613</v>
      </c>
      <c r="J177" s="321" t="s">
        <v>215</v>
      </c>
      <c r="K177" s="389" t="b">
        <f t="shared" si="22"/>
        <v>1</v>
      </c>
      <c r="Z177" s="358"/>
      <c r="AA177" s="510">
        <f t="shared" si="20"/>
        <v>112</v>
      </c>
      <c r="AB177">
        <f t="shared" si="21"/>
        <v>1774.0229999999999</v>
      </c>
      <c r="AC177">
        <f t="shared" si="19"/>
        <v>0</v>
      </c>
    </row>
    <row r="178" spans="1:29" ht="15.75">
      <c r="A178" s="141">
        <f t="shared" si="23"/>
        <v>10</v>
      </c>
      <c r="B178" s="142" t="s">
        <v>40</v>
      </c>
      <c r="C178" s="142" t="s">
        <v>92</v>
      </c>
      <c r="D178" s="146">
        <v>46.5</v>
      </c>
      <c r="E178" s="149">
        <v>4.5999999999999996</v>
      </c>
      <c r="F178" s="405">
        <v>43.1</v>
      </c>
      <c r="G178" s="408">
        <v>2.1640000000000001</v>
      </c>
      <c r="H178" s="592">
        <v>43.78</v>
      </c>
      <c r="I178" s="571">
        <v>2.5009999999999999</v>
      </c>
      <c r="J178" s="321" t="s">
        <v>216</v>
      </c>
      <c r="K178" s="389" t="b">
        <f t="shared" si="22"/>
        <v>1</v>
      </c>
      <c r="Z178" s="358"/>
      <c r="AA178" s="510">
        <f t="shared" si="20"/>
        <v>113</v>
      </c>
      <c r="AB178">
        <f t="shared" si="21"/>
        <v>1772.17</v>
      </c>
      <c r="AC178">
        <f t="shared" si="19"/>
        <v>0</v>
      </c>
    </row>
    <row r="179" spans="1:29" ht="15.75">
      <c r="A179" s="141">
        <f t="shared" si="23"/>
        <v>11</v>
      </c>
      <c r="B179" s="142" t="s">
        <v>42</v>
      </c>
      <c r="C179" s="142" t="s">
        <v>92</v>
      </c>
      <c r="D179" s="143">
        <v>51.5</v>
      </c>
      <c r="E179" s="144">
        <v>2.4159999999999999</v>
      </c>
      <c r="F179" s="404">
        <v>46.86</v>
      </c>
      <c r="G179" s="421">
        <v>0.90600000000000003</v>
      </c>
      <c r="H179" s="592">
        <v>49.64</v>
      </c>
      <c r="I179" s="593">
        <v>1.96</v>
      </c>
      <c r="J179" s="321" t="s">
        <v>217</v>
      </c>
      <c r="K179" s="389" t="b">
        <f t="shared" si="22"/>
        <v>1</v>
      </c>
      <c r="Z179" s="358"/>
      <c r="AA179" s="510">
        <f t="shared" si="20"/>
        <v>114</v>
      </c>
      <c r="AB179">
        <f t="shared" si="21"/>
        <v>1770</v>
      </c>
      <c r="AC179">
        <f t="shared" si="19"/>
        <v>0</v>
      </c>
    </row>
    <row r="180" spans="1:29" ht="15.75">
      <c r="A180" s="141">
        <f t="shared" si="23"/>
        <v>12</v>
      </c>
      <c r="B180" s="142" t="s">
        <v>43</v>
      </c>
      <c r="C180" s="142" t="s">
        <v>90</v>
      </c>
      <c r="D180" s="143">
        <f>71 +10</f>
        <v>81</v>
      </c>
      <c r="E180" s="144">
        <v>1.093</v>
      </c>
      <c r="F180" s="143">
        <f>71 +2.94</f>
        <v>73.94</v>
      </c>
      <c r="G180" s="419">
        <v>0.18</v>
      </c>
      <c r="H180" s="594">
        <f>71 +4.98</f>
        <v>75.98</v>
      </c>
      <c r="I180" s="593">
        <v>0.37</v>
      </c>
      <c r="J180" s="321" t="s">
        <v>215</v>
      </c>
      <c r="K180" s="389" t="b">
        <f t="shared" si="22"/>
        <v>1</v>
      </c>
      <c r="Z180" s="358"/>
      <c r="AA180" s="510">
        <f t="shared" si="20"/>
        <v>115</v>
      </c>
      <c r="AB180">
        <f t="shared" si="21"/>
        <v>1767</v>
      </c>
      <c r="AC180">
        <f t="shared" si="19"/>
        <v>0</v>
      </c>
    </row>
    <row r="181" spans="1:29" ht="15.75">
      <c r="A181" s="141">
        <f t="shared" si="23"/>
        <v>13</v>
      </c>
      <c r="B181" s="142" t="s">
        <v>44</v>
      </c>
      <c r="C181" s="142" t="s">
        <v>90</v>
      </c>
      <c r="D181" s="143">
        <f>75.8+7</f>
        <v>82.8</v>
      </c>
      <c r="E181" s="144">
        <v>0.42899999999999999</v>
      </c>
      <c r="F181" s="143">
        <f>75.8+4.22</f>
        <v>80.02</v>
      </c>
      <c r="G181" s="419">
        <v>8.4000000000000005E-2</v>
      </c>
      <c r="H181" s="594">
        <f>75.8+6.72</f>
        <v>82.52</v>
      </c>
      <c r="I181" s="593">
        <v>0.38500000000000001</v>
      </c>
      <c r="J181" s="321" t="s">
        <v>225</v>
      </c>
      <c r="K181" s="389" t="b">
        <f t="shared" si="22"/>
        <v>1</v>
      </c>
      <c r="Z181" s="358"/>
      <c r="AA181" s="510">
        <f t="shared" si="20"/>
        <v>116</v>
      </c>
      <c r="AB181">
        <f t="shared" si="21"/>
        <v>1760.6</v>
      </c>
      <c r="AC181">
        <f t="shared" si="19"/>
        <v>0</v>
      </c>
    </row>
    <row r="182" spans="1:29" ht="15.75">
      <c r="A182" s="141">
        <f t="shared" si="23"/>
        <v>14</v>
      </c>
      <c r="B182" s="142" t="s">
        <v>45</v>
      </c>
      <c r="C182" s="142" t="s">
        <v>90</v>
      </c>
      <c r="D182" s="143">
        <f>65.65 +4.3</f>
        <v>69.95</v>
      </c>
      <c r="E182" s="144">
        <v>0.25</v>
      </c>
      <c r="F182" s="143">
        <f>65.65 +2</f>
        <v>67.650000000000006</v>
      </c>
      <c r="G182" s="421">
        <v>4.9000000000000002E-2</v>
      </c>
      <c r="H182" s="594">
        <f>65.65 +4.39</f>
        <v>70.040000000000006</v>
      </c>
      <c r="I182" s="593">
        <v>0.26500000000000001</v>
      </c>
      <c r="J182" s="321" t="s">
        <v>225</v>
      </c>
      <c r="K182" s="389" t="b">
        <f t="shared" si="22"/>
        <v>1</v>
      </c>
      <c r="Z182" s="358"/>
      <c r="AA182" s="510">
        <f t="shared" si="20"/>
        <v>117</v>
      </c>
      <c r="AB182">
        <f t="shared" si="21"/>
        <v>1758</v>
      </c>
      <c r="AC182">
        <f t="shared" si="19"/>
        <v>0</v>
      </c>
    </row>
    <row r="183" spans="1:29" ht="15.75">
      <c r="A183" s="141">
        <f t="shared" si="23"/>
        <v>15</v>
      </c>
      <c r="B183" s="142" t="s">
        <v>46</v>
      </c>
      <c r="C183" s="142" t="s">
        <v>90</v>
      </c>
      <c r="D183" s="146">
        <v>5.21</v>
      </c>
      <c r="E183" s="144">
        <v>0.38500000000000001</v>
      </c>
      <c r="F183" s="404">
        <v>1.1599999999999999</v>
      </c>
      <c r="G183" s="419">
        <v>0.09</v>
      </c>
      <c r="H183" s="595">
        <v>3.46</v>
      </c>
      <c r="I183" s="589">
        <v>0.14599999999999999</v>
      </c>
      <c r="J183" s="321" t="s">
        <v>215</v>
      </c>
      <c r="K183" s="389" t="b">
        <f t="shared" si="22"/>
        <v>1</v>
      </c>
      <c r="Z183" s="358"/>
      <c r="AA183" s="510">
        <f t="shared" si="20"/>
        <v>118</v>
      </c>
      <c r="AB183">
        <f t="shared" si="21"/>
        <v>1751</v>
      </c>
      <c r="AC183">
        <f t="shared" si="19"/>
        <v>0</v>
      </c>
    </row>
    <row r="184" spans="1:29" ht="15.75">
      <c r="A184" s="141">
        <f t="shared" si="23"/>
        <v>16</v>
      </c>
      <c r="B184" s="142" t="s">
        <v>94</v>
      </c>
      <c r="C184" s="142" t="s">
        <v>47</v>
      </c>
      <c r="D184" s="143">
        <v>138.19999999999999</v>
      </c>
      <c r="E184" s="356">
        <v>440</v>
      </c>
      <c r="F184" s="404">
        <v>127.58</v>
      </c>
      <c r="G184" s="409">
        <v>66.882000000000005</v>
      </c>
      <c r="H184" s="547">
        <v>133.07</v>
      </c>
      <c r="I184" s="571">
        <v>228.137</v>
      </c>
      <c r="J184" s="321"/>
      <c r="K184" s="389" t="b">
        <f t="shared" si="22"/>
        <v>1</v>
      </c>
      <c r="Z184" s="358"/>
      <c r="AA184" s="510">
        <f t="shared" si="20"/>
        <v>119</v>
      </c>
      <c r="AB184">
        <f t="shared" si="21"/>
        <v>1745.56</v>
      </c>
      <c r="AC184">
        <f t="shared" si="19"/>
        <v>0</v>
      </c>
    </row>
    <row r="185" spans="1:29" ht="15.75">
      <c r="A185" s="141">
        <f t="shared" si="23"/>
        <v>17</v>
      </c>
      <c r="B185" s="142" t="s">
        <v>48</v>
      </c>
      <c r="C185" s="142" t="s">
        <v>47</v>
      </c>
      <c r="D185" s="143">
        <v>113.5</v>
      </c>
      <c r="E185" s="144">
        <v>3.7519999999999998</v>
      </c>
      <c r="F185" s="404">
        <v>107.29</v>
      </c>
      <c r="G185" s="421">
        <v>1.2430000000000001</v>
      </c>
      <c r="H185" s="548">
        <v>111.12</v>
      </c>
      <c r="I185" s="571">
        <v>2.5609999999999999</v>
      </c>
      <c r="J185" s="321"/>
      <c r="K185" s="389" t="b">
        <f t="shared" si="22"/>
        <v>1</v>
      </c>
      <c r="Z185" s="358"/>
      <c r="AA185" s="510">
        <f t="shared" si="20"/>
        <v>120</v>
      </c>
      <c r="AB185">
        <f t="shared" si="21"/>
        <v>1739</v>
      </c>
      <c r="AC185">
        <f t="shared" si="19"/>
        <v>0</v>
      </c>
    </row>
    <row r="186" spans="1:29" ht="15.75">
      <c r="A186" s="141">
        <f t="shared" si="23"/>
        <v>18</v>
      </c>
      <c r="B186" s="142" t="s">
        <v>49</v>
      </c>
      <c r="C186" s="142" t="s">
        <v>47</v>
      </c>
      <c r="D186" s="143">
        <v>225.4</v>
      </c>
      <c r="E186" s="148">
        <v>1.2</v>
      </c>
      <c r="F186" s="404">
        <v>222.8</v>
      </c>
      <c r="G186" s="421">
        <v>3.9E-2</v>
      </c>
      <c r="H186" s="550">
        <v>225.3</v>
      </c>
      <c r="I186" s="572">
        <v>0.56200000000000006</v>
      </c>
      <c r="J186" s="321"/>
      <c r="K186" s="389" t="b">
        <f t="shared" si="22"/>
        <v>1</v>
      </c>
      <c r="Z186" s="358"/>
      <c r="AA186" s="510">
        <f t="shared" si="20"/>
        <v>121</v>
      </c>
      <c r="AB186">
        <f t="shared" ref="AB186:AB216" si="24">IF(Q7="tad","tad",Q7)</f>
        <v>1735</v>
      </c>
      <c r="AC186">
        <f t="shared" si="19"/>
        <v>0</v>
      </c>
    </row>
    <row r="187" spans="1:29" ht="15.75">
      <c r="A187" s="141">
        <f t="shared" si="23"/>
        <v>19</v>
      </c>
      <c r="B187" s="142" t="s">
        <v>50</v>
      </c>
      <c r="C187" s="142" t="s">
        <v>47</v>
      </c>
      <c r="D187" s="143">
        <v>224</v>
      </c>
      <c r="E187" s="144">
        <v>0.65100000000000002</v>
      </c>
      <c r="F187" s="404">
        <v>215.95</v>
      </c>
      <c r="G187" s="421">
        <v>7.4999999999999997E-2</v>
      </c>
      <c r="H187" s="548">
        <v>221.1</v>
      </c>
      <c r="I187" s="573">
        <v>0.35699999999999998</v>
      </c>
      <c r="J187" s="321"/>
      <c r="K187" s="389" t="b">
        <f t="shared" si="22"/>
        <v>1</v>
      </c>
      <c r="Z187" s="358"/>
      <c r="AA187" s="510">
        <f t="shared" si="20"/>
        <v>122</v>
      </c>
      <c r="AB187">
        <f t="shared" si="24"/>
        <v>1733</v>
      </c>
      <c r="AC187">
        <f t="shared" si="19"/>
        <v>0</v>
      </c>
    </row>
    <row r="188" spans="1:29" ht="15.75">
      <c r="A188" s="141">
        <f t="shared" si="23"/>
        <v>20</v>
      </c>
      <c r="B188" s="142" t="s">
        <v>51</v>
      </c>
      <c r="C188" s="142" t="s">
        <v>47</v>
      </c>
      <c r="D188" s="143">
        <v>196</v>
      </c>
      <c r="E188" s="144">
        <v>1.5820000000000001</v>
      </c>
      <c r="F188" s="404">
        <v>192.95</v>
      </c>
      <c r="G188" s="421">
        <v>1.1000000000000001</v>
      </c>
      <c r="H188" s="548">
        <v>196.11</v>
      </c>
      <c r="I188" s="571">
        <v>1.6</v>
      </c>
      <c r="J188" s="321"/>
      <c r="K188" s="389" t="b">
        <f t="shared" si="22"/>
        <v>1</v>
      </c>
      <c r="Z188" s="358"/>
      <c r="AA188" s="510">
        <f t="shared" si="20"/>
        <v>123</v>
      </c>
      <c r="AB188">
        <f t="shared" si="24"/>
        <v>1727</v>
      </c>
      <c r="AC188">
        <f t="shared" si="19"/>
        <v>0</v>
      </c>
    </row>
    <row r="189" spans="1:29" ht="16.5" thickBot="1">
      <c r="A189" s="150">
        <f t="shared" si="23"/>
        <v>21</v>
      </c>
      <c r="B189" s="151" t="s">
        <v>52</v>
      </c>
      <c r="C189" s="151" t="s">
        <v>47</v>
      </c>
      <c r="D189" s="152">
        <v>174</v>
      </c>
      <c r="E189" s="153">
        <v>0.47899999999999998</v>
      </c>
      <c r="F189" s="422">
        <v>172.62</v>
      </c>
      <c r="G189" s="423">
        <v>9.8000000000000004E-2</v>
      </c>
      <c r="H189" s="551">
        <v>174</v>
      </c>
      <c r="I189" s="574">
        <v>0.249</v>
      </c>
      <c r="J189" s="370"/>
      <c r="K189" s="389" t="b">
        <f t="shared" si="22"/>
        <v>1</v>
      </c>
      <c r="Z189" s="358"/>
      <c r="AA189" s="510">
        <f t="shared" si="20"/>
        <v>124</v>
      </c>
      <c r="AB189">
        <f t="shared" si="24"/>
        <v>1721</v>
      </c>
      <c r="AC189">
        <f t="shared" si="19"/>
        <v>0</v>
      </c>
    </row>
    <row r="190" spans="1:29" ht="15.75">
      <c r="A190" s="138"/>
      <c r="B190" s="139" t="s">
        <v>53</v>
      </c>
      <c r="C190" s="139" t="s">
        <v>47</v>
      </c>
      <c r="D190" s="140">
        <v>229.1</v>
      </c>
      <c r="E190" s="368">
        <v>0.79200000000000004</v>
      </c>
      <c r="F190" s="424">
        <v>219.01</v>
      </c>
      <c r="G190" s="425">
        <v>8.8999999999999996E-2</v>
      </c>
      <c r="H190" s="552">
        <v>220.9</v>
      </c>
      <c r="I190" s="575">
        <v>0.16700000000000001</v>
      </c>
      <c r="J190" s="369"/>
      <c r="K190" s="389" t="b">
        <f t="shared" si="22"/>
        <v>1</v>
      </c>
      <c r="Z190" s="358"/>
      <c r="AA190" s="510">
        <f t="shared" si="20"/>
        <v>125</v>
      </c>
      <c r="AB190">
        <f t="shared" si="24"/>
        <v>1724</v>
      </c>
      <c r="AC190">
        <f t="shared" si="19"/>
        <v>0</v>
      </c>
    </row>
    <row r="191" spans="1:29" ht="15.75">
      <c r="A191" s="141">
        <f t="shared" si="23"/>
        <v>1</v>
      </c>
      <c r="B191" s="142" t="s">
        <v>54</v>
      </c>
      <c r="C191" s="142" t="s">
        <v>47</v>
      </c>
      <c r="D191" s="143">
        <v>249</v>
      </c>
      <c r="E191" s="144">
        <v>2.1240000000000001</v>
      </c>
      <c r="F191" s="404">
        <v>241.47</v>
      </c>
      <c r="G191" s="421">
        <v>0.45</v>
      </c>
      <c r="H191" s="548">
        <v>245.9</v>
      </c>
      <c r="I191" s="573">
        <v>1.1970000000000001</v>
      </c>
      <c r="J191" s="321"/>
      <c r="K191" s="389" t="b">
        <f t="shared" si="22"/>
        <v>1</v>
      </c>
      <c r="Z191" s="358"/>
      <c r="AA191" s="510">
        <f t="shared" si="20"/>
        <v>126</v>
      </c>
      <c r="AB191">
        <f t="shared" si="24"/>
        <v>1705</v>
      </c>
      <c r="AC191">
        <f t="shared" si="19"/>
        <v>0</v>
      </c>
    </row>
    <row r="192" spans="1:29" ht="15.75">
      <c r="A192" s="141">
        <f t="shared" si="23"/>
        <v>2</v>
      </c>
      <c r="B192" s="142" t="s">
        <v>55</v>
      </c>
      <c r="C192" s="142" t="s">
        <v>95</v>
      </c>
      <c r="D192" s="143">
        <v>164.75</v>
      </c>
      <c r="E192" s="148">
        <v>5</v>
      </c>
      <c r="F192" s="404">
        <v>156.11000000000001</v>
      </c>
      <c r="G192" s="421">
        <v>0.98599999999999999</v>
      </c>
      <c r="H192" s="547">
        <v>156.4</v>
      </c>
      <c r="I192" s="573">
        <v>1.077</v>
      </c>
      <c r="J192" s="321"/>
      <c r="K192" s="389" t="b">
        <f t="shared" si="22"/>
        <v>1</v>
      </c>
      <c r="Z192" s="358"/>
      <c r="AA192" s="510">
        <f t="shared" si="20"/>
        <v>127</v>
      </c>
      <c r="AB192">
        <f t="shared" si="24"/>
        <v>1701</v>
      </c>
      <c r="AC192">
        <f t="shared" si="19"/>
        <v>0</v>
      </c>
    </row>
    <row r="193" spans="1:29" ht="15.75">
      <c r="A193" s="141">
        <f t="shared" si="23"/>
        <v>3</v>
      </c>
      <c r="B193" s="142" t="s">
        <v>56</v>
      </c>
      <c r="C193" s="142" t="s">
        <v>95</v>
      </c>
      <c r="D193" s="143">
        <v>179.1</v>
      </c>
      <c r="E193" s="144">
        <v>4.2</v>
      </c>
      <c r="F193" s="426">
        <v>168.86</v>
      </c>
      <c r="G193" s="420">
        <v>0.47599999999999998</v>
      </c>
      <c r="H193" s="547">
        <v>174.55</v>
      </c>
      <c r="I193" s="571">
        <v>1.905</v>
      </c>
      <c r="J193" s="321"/>
      <c r="K193" s="389" t="b">
        <f t="shared" si="22"/>
        <v>1</v>
      </c>
      <c r="Z193" s="358"/>
      <c r="AA193" s="510">
        <f t="shared" si="20"/>
        <v>128</v>
      </c>
      <c r="AB193">
        <f t="shared" si="24"/>
        <v>1699.84</v>
      </c>
      <c r="AC193">
        <f t="shared" si="19"/>
        <v>0</v>
      </c>
    </row>
    <row r="194" spans="1:29" ht="15.75">
      <c r="A194" s="141">
        <f t="shared" si="23"/>
        <v>4</v>
      </c>
      <c r="B194" s="142" t="s">
        <v>57</v>
      </c>
      <c r="C194" s="142" t="s">
        <v>96</v>
      </c>
      <c r="D194" s="143">
        <v>326.56</v>
      </c>
      <c r="E194" s="144">
        <v>0.70099999999999996</v>
      </c>
      <c r="F194" s="407">
        <v>318.94</v>
      </c>
      <c r="G194" s="406">
        <v>0.222</v>
      </c>
      <c r="H194" s="548">
        <v>325.56</v>
      </c>
      <c r="I194" s="573">
        <v>0.70099999999999996</v>
      </c>
      <c r="J194" s="321"/>
      <c r="K194" s="389" t="b">
        <f t="shared" si="22"/>
        <v>1</v>
      </c>
      <c r="Z194" s="358"/>
      <c r="AA194" s="510">
        <f t="shared" si="20"/>
        <v>129</v>
      </c>
      <c r="AB194">
        <f t="shared" si="24"/>
        <v>1694</v>
      </c>
      <c r="AC194">
        <f t="shared" ref="AC194:AC257" si="25">IF(COUNT(AA194:AB194)=2,0,-Z$49/500)</f>
        <v>0</v>
      </c>
    </row>
    <row r="195" spans="1:29" ht="15.75">
      <c r="A195" s="141">
        <f t="shared" si="23"/>
        <v>5</v>
      </c>
      <c r="B195" s="142" t="s">
        <v>58</v>
      </c>
      <c r="C195" s="142" t="s">
        <v>96</v>
      </c>
      <c r="D195" s="143">
        <v>129.19999999999999</v>
      </c>
      <c r="E195" s="144">
        <v>0.5</v>
      </c>
      <c r="F195" s="404">
        <v>125.89</v>
      </c>
      <c r="G195" s="421">
        <v>0.16400000000000001</v>
      </c>
      <c r="H195" s="548">
        <v>127.65</v>
      </c>
      <c r="I195" s="571">
        <v>0.34499999999999997</v>
      </c>
      <c r="J195" s="321"/>
      <c r="K195" s="389" t="b">
        <f t="shared" si="22"/>
        <v>1</v>
      </c>
      <c r="Z195" s="358"/>
      <c r="AA195" s="510">
        <f t="shared" ref="AA195:AA258" si="26">AA194+1</f>
        <v>130</v>
      </c>
      <c r="AB195">
        <f t="shared" si="24"/>
        <v>1687</v>
      </c>
      <c r="AC195">
        <f t="shared" si="25"/>
        <v>0</v>
      </c>
    </row>
    <row r="196" spans="1:29" ht="15.75">
      <c r="A196" s="141">
        <f t="shared" si="23"/>
        <v>6</v>
      </c>
      <c r="B196" s="142" t="s">
        <v>59</v>
      </c>
      <c r="C196" s="142" t="s">
        <v>96</v>
      </c>
      <c r="D196" s="143">
        <v>282.76</v>
      </c>
      <c r="E196" s="144">
        <v>0.51300000000000001</v>
      </c>
      <c r="F196" s="404">
        <v>279.52999999999997</v>
      </c>
      <c r="G196" s="421">
        <v>0.16900000000000001</v>
      </c>
      <c r="H196" s="550">
        <v>282.77999999999997</v>
      </c>
      <c r="I196" s="571">
        <v>0.51300000000000001</v>
      </c>
      <c r="J196" s="321"/>
      <c r="K196" s="389" t="b">
        <f t="shared" si="22"/>
        <v>1</v>
      </c>
      <c r="Z196" s="358"/>
      <c r="AA196" s="510">
        <f t="shared" si="26"/>
        <v>131</v>
      </c>
      <c r="AB196">
        <f t="shared" si="24"/>
        <v>1681</v>
      </c>
      <c r="AC196">
        <f t="shared" si="25"/>
        <v>0</v>
      </c>
    </row>
    <row r="197" spans="1:29" ht="15.75">
      <c r="A197" s="141">
        <f t="shared" si="23"/>
        <v>7</v>
      </c>
      <c r="B197" s="142" t="s">
        <v>60</v>
      </c>
      <c r="C197" s="142" t="s">
        <v>96</v>
      </c>
      <c r="D197" s="143">
        <v>99</v>
      </c>
      <c r="E197" s="144">
        <v>2.6110000000000002</v>
      </c>
      <c r="F197" s="404">
        <v>93.8</v>
      </c>
      <c r="G197" s="421">
        <v>0.58899999999999997</v>
      </c>
      <c r="H197" s="548">
        <v>97.89</v>
      </c>
      <c r="I197" s="573">
        <v>2.028</v>
      </c>
      <c r="J197" s="321"/>
      <c r="K197" s="389" t="b">
        <f t="shared" si="22"/>
        <v>1</v>
      </c>
      <c r="Z197" s="358"/>
      <c r="AA197" s="510">
        <f t="shared" si="26"/>
        <v>132</v>
      </c>
      <c r="AB197">
        <f t="shared" si="24"/>
        <v>1679</v>
      </c>
      <c r="AC197">
        <f t="shared" si="25"/>
        <v>0</v>
      </c>
    </row>
    <row r="198" spans="1:29" ht="15.75">
      <c r="A198" s="141">
        <f t="shared" si="23"/>
        <v>8</v>
      </c>
      <c r="B198" s="142" t="s">
        <v>61</v>
      </c>
      <c r="C198" s="142" t="s">
        <v>96</v>
      </c>
      <c r="D198" s="143">
        <v>189.7</v>
      </c>
      <c r="E198" s="148">
        <v>0.08</v>
      </c>
      <c r="F198" s="404">
        <v>188.18</v>
      </c>
      <c r="G198" s="421">
        <v>0.03</v>
      </c>
      <c r="H198" s="548">
        <v>189.7</v>
      </c>
      <c r="I198" s="573">
        <v>0.08</v>
      </c>
      <c r="J198" s="321"/>
      <c r="K198" s="389" t="b">
        <f t="shared" si="22"/>
        <v>1</v>
      </c>
      <c r="Z198" s="358"/>
      <c r="AA198" s="510">
        <f t="shared" si="26"/>
        <v>133</v>
      </c>
      <c r="AB198">
        <f t="shared" si="24"/>
        <v>1672</v>
      </c>
      <c r="AC198">
        <f t="shared" si="25"/>
        <v>0</v>
      </c>
    </row>
    <row r="199" spans="1:29" ht="15.75">
      <c r="A199" s="141">
        <f t="shared" si="23"/>
        <v>9</v>
      </c>
      <c r="B199" s="142" t="s">
        <v>62</v>
      </c>
      <c r="C199" s="142" t="s">
        <v>96</v>
      </c>
      <c r="D199" s="143">
        <v>171.16</v>
      </c>
      <c r="E199" s="144">
        <v>9.6000000000000002E-2</v>
      </c>
      <c r="F199" s="402">
        <v>169.19</v>
      </c>
      <c r="G199" s="403">
        <v>4.8000000000000001E-2</v>
      </c>
      <c r="H199" s="548">
        <v>171.46</v>
      </c>
      <c r="I199" s="573">
        <v>0.10299999999999999</v>
      </c>
      <c r="J199" s="321"/>
      <c r="K199" s="389" t="b">
        <f t="shared" si="22"/>
        <v>1</v>
      </c>
      <c r="Z199" s="358"/>
      <c r="AA199" s="510">
        <f t="shared" si="26"/>
        <v>134</v>
      </c>
      <c r="AB199">
        <f t="shared" si="24"/>
        <v>1681</v>
      </c>
      <c r="AC199">
        <f t="shared" si="25"/>
        <v>0</v>
      </c>
    </row>
    <row r="200" spans="1:29" ht="15.75">
      <c r="A200" s="141">
        <f t="shared" si="23"/>
        <v>10</v>
      </c>
      <c r="B200" s="142" t="s">
        <v>63</v>
      </c>
      <c r="C200" s="142" t="s">
        <v>97</v>
      </c>
      <c r="D200" s="143">
        <v>142.6</v>
      </c>
      <c r="E200" s="356">
        <v>9.157</v>
      </c>
      <c r="F200" s="404">
        <v>137.94999999999999</v>
      </c>
      <c r="G200" s="409">
        <v>1.8169999999999999</v>
      </c>
      <c r="H200" s="545">
        <v>140.01</v>
      </c>
      <c r="I200" s="576">
        <v>2.7360000000000002</v>
      </c>
      <c r="J200" s="321"/>
      <c r="K200" s="389" t="b">
        <f t="shared" ref="K200:K258" si="27">IF(F200&gt;H200,G200&gt;I200,(IF(F200&lt;H200,G200&lt;I200,(IF(F200=H200,G200=I200,(IF(F200&gt;H200,G200&lt;I200,"")))))))</f>
        <v>1</v>
      </c>
      <c r="Z200" s="358"/>
      <c r="AA200" s="510">
        <f t="shared" si="26"/>
        <v>135</v>
      </c>
      <c r="AB200">
        <f t="shared" si="24"/>
        <v>1675</v>
      </c>
      <c r="AC200">
        <f t="shared" si="25"/>
        <v>0</v>
      </c>
    </row>
    <row r="201" spans="1:29" ht="15.75">
      <c r="A201" s="141">
        <f t="shared" si="23"/>
        <v>11</v>
      </c>
      <c r="B201" s="142" t="s">
        <v>64</v>
      </c>
      <c r="C201" s="142" t="s">
        <v>97</v>
      </c>
      <c r="D201" s="143">
        <v>239.5</v>
      </c>
      <c r="E201" s="144">
        <v>2.6720000000000002</v>
      </c>
      <c r="F201" s="404">
        <v>235.17</v>
      </c>
      <c r="G201" s="419">
        <v>0.64900000000000002</v>
      </c>
      <c r="H201" s="545">
        <v>235.93</v>
      </c>
      <c r="I201" s="576">
        <v>0.91800000000000004</v>
      </c>
      <c r="J201" s="321"/>
      <c r="K201" s="389" t="b">
        <f t="shared" si="27"/>
        <v>1</v>
      </c>
      <c r="Z201" s="358"/>
      <c r="AA201" s="510">
        <f t="shared" si="26"/>
        <v>136</v>
      </c>
      <c r="AB201">
        <f t="shared" si="24"/>
        <v>1670</v>
      </c>
      <c r="AC201">
        <f t="shared" si="25"/>
        <v>0</v>
      </c>
    </row>
    <row r="202" spans="1:29" ht="15.75">
      <c r="A202" s="141">
        <f t="shared" si="23"/>
        <v>12</v>
      </c>
      <c r="B202" s="142" t="s">
        <v>65</v>
      </c>
      <c r="C202" s="142" t="s">
        <v>98</v>
      </c>
      <c r="D202" s="143">
        <v>120.5</v>
      </c>
      <c r="E202" s="144">
        <v>3.677</v>
      </c>
      <c r="F202" s="404">
        <v>118.93</v>
      </c>
      <c r="G202" s="421">
        <v>1.0449999999999999</v>
      </c>
      <c r="H202" s="547">
        <v>120.45</v>
      </c>
      <c r="I202" s="571">
        <v>3.5819999999999999</v>
      </c>
      <c r="J202" s="321"/>
      <c r="K202" s="389" t="b">
        <f t="shared" si="27"/>
        <v>1</v>
      </c>
      <c r="Z202" s="358"/>
      <c r="AA202" s="510">
        <f t="shared" si="26"/>
        <v>137</v>
      </c>
      <c r="AB202">
        <f t="shared" si="24"/>
        <v>1659</v>
      </c>
      <c r="AC202">
        <f t="shared" si="25"/>
        <v>0</v>
      </c>
    </row>
    <row r="203" spans="1:29" ht="15.75">
      <c r="A203" s="141">
        <f t="shared" si="23"/>
        <v>13</v>
      </c>
      <c r="B203" s="142" t="s">
        <v>66</v>
      </c>
      <c r="C203" s="142" t="s">
        <v>99</v>
      </c>
      <c r="D203" s="143">
        <v>110.56</v>
      </c>
      <c r="E203" s="144">
        <v>2.75</v>
      </c>
      <c r="F203" s="404">
        <v>108.08</v>
      </c>
      <c r="G203" s="421">
        <v>0.53500000000000003</v>
      </c>
      <c r="H203" s="547">
        <v>109.51</v>
      </c>
      <c r="I203" s="571">
        <v>1.32</v>
      </c>
      <c r="J203" s="321"/>
      <c r="K203" s="389" t="b">
        <f t="shared" si="27"/>
        <v>1</v>
      </c>
      <c r="Z203" s="358"/>
      <c r="AA203" s="510">
        <f t="shared" si="26"/>
        <v>138</v>
      </c>
      <c r="AB203">
        <f t="shared" si="24"/>
        <v>1657</v>
      </c>
      <c r="AC203">
        <f t="shared" si="25"/>
        <v>0</v>
      </c>
    </row>
    <row r="204" spans="1:29" ht="15.75">
      <c r="A204" s="141">
        <f t="shared" si="23"/>
        <v>14</v>
      </c>
      <c r="B204" s="142" t="s">
        <v>67</v>
      </c>
      <c r="C204" s="142" t="s">
        <v>100</v>
      </c>
      <c r="D204" s="143">
        <v>72</v>
      </c>
      <c r="E204" s="356">
        <v>38.036000000000001</v>
      </c>
      <c r="F204" s="402">
        <v>61.05</v>
      </c>
      <c r="G204" s="403">
        <v>16.39</v>
      </c>
      <c r="H204" s="561">
        <v>68.599999999999994</v>
      </c>
      <c r="I204" s="570">
        <v>30.106000000000002</v>
      </c>
      <c r="J204" s="321"/>
      <c r="K204" s="389" t="b">
        <f t="shared" si="27"/>
        <v>1</v>
      </c>
      <c r="Z204" s="358"/>
      <c r="AA204" s="510">
        <f t="shared" si="26"/>
        <v>139</v>
      </c>
      <c r="AB204">
        <f t="shared" si="24"/>
        <v>1657</v>
      </c>
      <c r="AC204">
        <f t="shared" si="25"/>
        <v>0</v>
      </c>
    </row>
    <row r="205" spans="1:29" ht="15.75">
      <c r="A205" s="141">
        <f t="shared" si="23"/>
        <v>15</v>
      </c>
      <c r="B205" s="142" t="s">
        <v>68</v>
      </c>
      <c r="C205" s="142" t="s">
        <v>100</v>
      </c>
      <c r="D205" s="143">
        <v>185</v>
      </c>
      <c r="E205" s="356">
        <v>412.66</v>
      </c>
      <c r="F205" s="402">
        <v>174</v>
      </c>
      <c r="G205" s="403">
        <v>280.714</v>
      </c>
      <c r="H205" s="545">
        <v>173.21</v>
      </c>
      <c r="I205" s="570">
        <v>273.33300000000003</v>
      </c>
      <c r="J205" s="321"/>
      <c r="K205" s="389" t="b">
        <f t="shared" si="27"/>
        <v>1</v>
      </c>
      <c r="Z205" s="358"/>
      <c r="AA205" s="510">
        <f t="shared" si="26"/>
        <v>140</v>
      </c>
      <c r="AB205">
        <f t="shared" si="24"/>
        <v>1661.5</v>
      </c>
      <c r="AC205">
        <f t="shared" si="25"/>
        <v>0</v>
      </c>
    </row>
    <row r="206" spans="1:29" ht="16.5" thickBot="1">
      <c r="A206" s="150">
        <v>38</v>
      </c>
      <c r="B206" s="151" t="s">
        <v>69</v>
      </c>
      <c r="C206" s="151" t="s">
        <v>101</v>
      </c>
      <c r="D206" s="152">
        <v>231</v>
      </c>
      <c r="E206" s="357">
        <v>31.8</v>
      </c>
      <c r="F206" s="410">
        <v>230.65</v>
      </c>
      <c r="G206" s="411">
        <v>22.28</v>
      </c>
      <c r="H206" s="562">
        <v>230.1</v>
      </c>
      <c r="I206" s="596">
        <v>18.350000000000001</v>
      </c>
      <c r="J206" s="321"/>
      <c r="K206" s="389" t="b">
        <f t="shared" si="27"/>
        <v>1</v>
      </c>
      <c r="Z206" s="358"/>
      <c r="AA206" s="510">
        <f t="shared" si="26"/>
        <v>141</v>
      </c>
      <c r="AB206">
        <f t="shared" si="24"/>
        <v>1674.9749999999999</v>
      </c>
      <c r="AC206">
        <f t="shared" si="25"/>
        <v>0</v>
      </c>
    </row>
    <row r="207" spans="1:29" ht="16.5" thickBot="1">
      <c r="A207" s="154"/>
      <c r="B207" s="155" t="s">
        <v>70</v>
      </c>
      <c r="C207" s="155"/>
      <c r="D207" s="156"/>
      <c r="E207" s="157">
        <f>SUM(E169:E206)</f>
        <v>1860.202</v>
      </c>
      <c r="F207" s="412"/>
      <c r="G207" s="374">
        <f>SUM(G169:G206)</f>
        <v>949.05299999999988</v>
      </c>
      <c r="H207" s="553"/>
      <c r="I207" s="470">
        <f>SUM(I169:I206)</f>
        <v>1030.154</v>
      </c>
      <c r="J207" s="158">
        <f>+I207-G207</f>
        <v>81.101000000000113</v>
      </c>
      <c r="K207" s="389"/>
      <c r="Z207" s="358"/>
      <c r="AA207" s="510">
        <f t="shared" si="26"/>
        <v>142</v>
      </c>
      <c r="AB207">
        <f t="shared" si="24"/>
        <v>1678.4390000000001</v>
      </c>
      <c r="AC207">
        <f t="shared" si="25"/>
        <v>0</v>
      </c>
    </row>
    <row r="208" spans="1:29" ht="16.5" thickBot="1">
      <c r="A208" s="159" t="s">
        <v>71</v>
      </c>
      <c r="B208" s="155" t="s">
        <v>72</v>
      </c>
      <c r="C208" s="155"/>
      <c r="D208" s="156"/>
      <c r="E208" s="157"/>
      <c r="F208" s="427"/>
      <c r="G208" s="428">
        <v>1</v>
      </c>
      <c r="H208" s="553"/>
      <c r="I208" s="471">
        <f>+I207/G207</f>
        <v>1.0854546584858802</v>
      </c>
      <c r="J208" s="160">
        <f>+I208-G208</f>
        <v>8.5454658485880186E-2</v>
      </c>
      <c r="K208" s="389"/>
      <c r="Z208" s="358"/>
      <c r="AA208" s="510">
        <f t="shared" si="26"/>
        <v>143</v>
      </c>
      <c r="AB208">
        <f t="shared" si="24"/>
        <v>1679.1410000000001</v>
      </c>
      <c r="AC208">
        <f t="shared" si="25"/>
        <v>0</v>
      </c>
    </row>
    <row r="209" spans="1:29" ht="16.5" thickBot="1">
      <c r="A209" s="200"/>
      <c r="B209" s="199"/>
      <c r="C209" s="198"/>
      <c r="D209" s="162"/>
      <c r="E209" s="163">
        <v>1</v>
      </c>
      <c r="F209" s="429" t="s">
        <v>71</v>
      </c>
      <c r="G209" s="375">
        <f>+G207/E207*100%</f>
        <v>0.51018814085782072</v>
      </c>
      <c r="H209" s="484"/>
      <c r="I209" s="472">
        <f>+I207/E207</f>
        <v>0.55378609419837199</v>
      </c>
      <c r="J209" s="160">
        <f>+I209-E209</f>
        <v>-0.44621390580162801</v>
      </c>
      <c r="K209" s="389"/>
      <c r="Z209" s="358"/>
      <c r="AA209" s="510">
        <f t="shared" si="26"/>
        <v>144</v>
      </c>
      <c r="AB209">
        <f t="shared" si="24"/>
        <v>1677.2380000000001</v>
      </c>
      <c r="AC209">
        <f t="shared" si="25"/>
        <v>0</v>
      </c>
    </row>
    <row r="210" spans="1:29" ht="15.75">
      <c r="A210" s="161"/>
      <c r="B210" s="162"/>
      <c r="C210" s="162"/>
      <c r="D210" s="162"/>
      <c r="E210" s="162"/>
      <c r="F210" s="377"/>
      <c r="G210" s="429"/>
      <c r="H210" s="484"/>
      <c r="I210" s="473"/>
      <c r="J210" s="165"/>
      <c r="K210" s="389"/>
      <c r="Z210" s="358"/>
      <c r="AA210" s="510">
        <f t="shared" si="26"/>
        <v>145</v>
      </c>
      <c r="AB210">
        <f t="shared" si="24"/>
        <v>1679.5519999999999</v>
      </c>
      <c r="AC210">
        <f t="shared" si="25"/>
        <v>0</v>
      </c>
    </row>
    <row r="211" spans="1:29" ht="15.75">
      <c r="A211" s="161"/>
      <c r="B211" s="162"/>
      <c r="C211" s="162"/>
      <c r="D211" s="162"/>
      <c r="E211" s="164">
        <f>+F212/E207*100</f>
        <v>0.2536821269948103</v>
      </c>
      <c r="F211" s="377"/>
      <c r="G211" s="429"/>
      <c r="H211" s="484"/>
      <c r="I211" s="473"/>
      <c r="K211" s="389"/>
      <c r="Z211" s="358"/>
      <c r="AA211" s="510">
        <f t="shared" si="26"/>
        <v>146</v>
      </c>
      <c r="AB211">
        <f t="shared" si="24"/>
        <v>1680.1420000000001</v>
      </c>
      <c r="AC211">
        <f t="shared" si="25"/>
        <v>0</v>
      </c>
    </row>
    <row r="212" spans="1:29" ht="15.75">
      <c r="A212" s="162"/>
      <c r="B212" s="162"/>
      <c r="C212" s="162"/>
      <c r="D212" s="162"/>
      <c r="E212" s="162"/>
      <c r="F212" s="430">
        <f>+G199+G198+G197+G196+G195+G194+G192+G191+G190+G189+G188+G186+G183+G177+G176</f>
        <v>4.7190000000000012</v>
      </c>
      <c r="G212" s="429">
        <f>+G210/G207*100</f>
        <v>0</v>
      </c>
      <c r="H212" s="484" t="s">
        <v>71</v>
      </c>
      <c r="I212" s="473" t="s">
        <v>71</v>
      </c>
      <c r="K212" s="389"/>
      <c r="Z212" s="358"/>
      <c r="AA212" s="510">
        <f t="shared" si="26"/>
        <v>147</v>
      </c>
      <c r="AB212">
        <f t="shared" si="24"/>
        <v>1682</v>
      </c>
      <c r="AC212">
        <f t="shared" si="25"/>
        <v>0</v>
      </c>
    </row>
    <row r="213" spans="1:29" ht="15.75">
      <c r="A213" s="176"/>
      <c r="B213" s="176"/>
      <c r="C213" s="201"/>
      <c r="D213" s="176"/>
      <c r="E213" s="176"/>
      <c r="F213" s="431"/>
      <c r="G213" s="432"/>
      <c r="H213" s="554"/>
      <c r="I213" s="474"/>
      <c r="K213" s="389"/>
      <c r="Z213" s="358"/>
      <c r="AA213" s="510">
        <f t="shared" si="26"/>
        <v>148</v>
      </c>
      <c r="AB213">
        <f t="shared" si="24"/>
        <v>1676.8</v>
      </c>
      <c r="AC213">
        <f t="shared" si="25"/>
        <v>0</v>
      </c>
    </row>
    <row r="214" spans="1:29" ht="21.75">
      <c r="A214" s="237"/>
      <c r="B214" s="236"/>
      <c r="C214" s="236"/>
      <c r="D214" s="236"/>
      <c r="E214" s="236"/>
      <c r="F214" s="376"/>
      <c r="G214" s="376"/>
      <c r="H214" s="475"/>
      <c r="I214" s="475"/>
      <c r="K214" s="389"/>
      <c r="Z214" s="358"/>
      <c r="AA214" s="510">
        <f t="shared" si="26"/>
        <v>149</v>
      </c>
      <c r="AB214">
        <f t="shared" si="24"/>
        <v>1677</v>
      </c>
      <c r="AC214">
        <f t="shared" si="25"/>
        <v>0</v>
      </c>
    </row>
    <row r="215" spans="1:29">
      <c r="F215" s="377"/>
      <c r="G215" s="377"/>
      <c r="H215" s="484"/>
      <c r="I215" s="484"/>
      <c r="K215" s="389"/>
      <c r="Z215" s="358"/>
      <c r="AA215" s="510">
        <f t="shared" si="26"/>
        <v>150</v>
      </c>
      <c r="AB215">
        <f t="shared" si="24"/>
        <v>1681.7</v>
      </c>
      <c r="AC215">
        <f t="shared" si="25"/>
        <v>0</v>
      </c>
    </row>
    <row r="216" spans="1:29" ht="13.5" thickBot="1">
      <c r="F216" s="377"/>
      <c r="G216" s="377"/>
      <c r="H216" s="484"/>
      <c r="I216" s="484"/>
      <c r="K216" s="389"/>
      <c r="Z216" s="358"/>
      <c r="AA216" s="510">
        <f t="shared" si="26"/>
        <v>151</v>
      </c>
      <c r="AB216">
        <f t="shared" si="24"/>
        <v>1687</v>
      </c>
      <c r="AC216">
        <f t="shared" si="25"/>
        <v>0</v>
      </c>
    </row>
    <row r="217" spans="1:29" ht="15.75">
      <c r="A217" s="605" t="s">
        <v>20</v>
      </c>
      <c r="B217" s="608" t="s">
        <v>21</v>
      </c>
      <c r="C217" s="608" t="s">
        <v>85</v>
      </c>
      <c r="D217" s="231" t="s">
        <v>22</v>
      </c>
      <c r="E217" s="232"/>
      <c r="F217" s="394" t="s">
        <v>23</v>
      </c>
      <c r="G217" s="395"/>
      <c r="H217" s="555" t="s">
        <v>24</v>
      </c>
      <c r="I217" s="479"/>
      <c r="J217" s="382"/>
      <c r="K217" s="389"/>
      <c r="Z217" s="358"/>
      <c r="AA217" s="510">
        <f t="shared" si="26"/>
        <v>152</v>
      </c>
      <c r="AB217">
        <f t="shared" ref="AB217:AB246" si="28">IF(R7="tad","tad",R7)</f>
        <v>1689.3</v>
      </c>
      <c r="AC217">
        <f t="shared" si="25"/>
        <v>0</v>
      </c>
    </row>
    <row r="218" spans="1:29" ht="15.75">
      <c r="A218" s="606"/>
      <c r="B218" s="609"/>
      <c r="C218" s="609"/>
      <c r="D218" s="4" t="s">
        <v>26</v>
      </c>
      <c r="E218" s="4" t="s">
        <v>27</v>
      </c>
      <c r="F218" s="396" t="s">
        <v>26</v>
      </c>
      <c r="G218" s="397" t="s">
        <v>27</v>
      </c>
      <c r="H218" s="556" t="s">
        <v>26</v>
      </c>
      <c r="I218" s="480" t="s">
        <v>27</v>
      </c>
      <c r="J218" s="82"/>
      <c r="K218" s="389"/>
      <c r="Z218" s="358"/>
      <c r="AA218" s="510">
        <f t="shared" si="26"/>
        <v>153</v>
      </c>
      <c r="AB218">
        <f t="shared" si="28"/>
        <v>1689.5</v>
      </c>
      <c r="AC218">
        <f t="shared" si="25"/>
        <v>0</v>
      </c>
    </row>
    <row r="219" spans="1:29" ht="19.5" thickBot="1">
      <c r="A219" s="607"/>
      <c r="B219" s="610"/>
      <c r="C219" s="610"/>
      <c r="D219" s="2" t="s">
        <v>28</v>
      </c>
      <c r="E219" s="2" t="s">
        <v>29</v>
      </c>
      <c r="F219" s="398" t="s">
        <v>28</v>
      </c>
      <c r="G219" s="399" t="s">
        <v>29</v>
      </c>
      <c r="H219" s="557" t="s">
        <v>28</v>
      </c>
      <c r="I219" s="481" t="s">
        <v>29</v>
      </c>
      <c r="J219" s="82"/>
      <c r="K219" s="389"/>
      <c r="Z219" s="358"/>
      <c r="AA219" s="510">
        <f t="shared" si="26"/>
        <v>154</v>
      </c>
      <c r="AB219">
        <f t="shared" si="28"/>
        <v>1692.23</v>
      </c>
      <c r="AC219">
        <f t="shared" si="25"/>
        <v>0</v>
      </c>
    </row>
    <row r="220" spans="1:29" ht="16.5" thickBot="1">
      <c r="A220" s="70">
        <v>1</v>
      </c>
      <c r="B220" s="21">
        <v>2</v>
      </c>
      <c r="C220" s="21">
        <v>3</v>
      </c>
      <c r="D220" s="21">
        <v>4</v>
      </c>
      <c r="E220" s="21">
        <v>5</v>
      </c>
      <c r="F220" s="400">
        <v>6</v>
      </c>
      <c r="G220" s="400">
        <v>7</v>
      </c>
      <c r="H220" s="467">
        <v>8</v>
      </c>
      <c r="I220" s="482">
        <v>9</v>
      </c>
      <c r="J220" s="383"/>
      <c r="K220" s="389"/>
      <c r="Z220" s="358"/>
      <c r="AA220" s="510">
        <f t="shared" si="26"/>
        <v>155</v>
      </c>
      <c r="AB220">
        <f t="shared" si="28"/>
        <v>1680</v>
      </c>
      <c r="AC220">
        <f t="shared" si="25"/>
        <v>0</v>
      </c>
    </row>
    <row r="221" spans="1:29" ht="15.75">
      <c r="A221" s="138">
        <v>1</v>
      </c>
      <c r="B221" s="139" t="s">
        <v>31</v>
      </c>
      <c r="C221" s="139" t="s">
        <v>86</v>
      </c>
      <c r="D221" s="140">
        <v>55.75</v>
      </c>
      <c r="E221" s="355">
        <v>37.046999999999997</v>
      </c>
      <c r="F221" s="417">
        <v>53.24</v>
      </c>
      <c r="G221" s="401">
        <v>21.414000000000001</v>
      </c>
      <c r="H221" s="544">
        <v>50.86</v>
      </c>
      <c r="I221" s="569">
        <v>9.3919999999999995</v>
      </c>
      <c r="J221" s="560" t="s">
        <v>231</v>
      </c>
      <c r="K221" s="389" t="b">
        <f t="shared" si="27"/>
        <v>1</v>
      </c>
      <c r="Z221" s="358"/>
      <c r="AA221" s="510">
        <f t="shared" si="26"/>
        <v>156</v>
      </c>
      <c r="AB221">
        <f t="shared" si="28"/>
        <v>1672</v>
      </c>
      <c r="AC221">
        <f t="shared" si="25"/>
        <v>0</v>
      </c>
    </row>
    <row r="222" spans="1:29" ht="15.75">
      <c r="A222" s="141">
        <f>+A221+1</f>
        <v>2</v>
      </c>
      <c r="B222" s="142" t="s">
        <v>32</v>
      </c>
      <c r="C222" s="142" t="s">
        <v>86</v>
      </c>
      <c r="D222" s="143">
        <v>339.5</v>
      </c>
      <c r="E222" s="356">
        <v>7.77</v>
      </c>
      <c r="F222" s="418">
        <v>338.77</v>
      </c>
      <c r="G222" s="403">
        <v>7.157</v>
      </c>
      <c r="H222" s="545">
        <v>339.46</v>
      </c>
      <c r="I222" s="570">
        <v>7.7350000000000003</v>
      </c>
      <c r="J222" s="318"/>
      <c r="K222" s="389" t="b">
        <f t="shared" si="27"/>
        <v>1</v>
      </c>
      <c r="Z222" s="358"/>
      <c r="AA222" s="510">
        <f t="shared" si="26"/>
        <v>157</v>
      </c>
      <c r="AB222">
        <f t="shared" si="28"/>
        <v>1672</v>
      </c>
      <c r="AC222">
        <f t="shared" si="25"/>
        <v>0</v>
      </c>
    </row>
    <row r="223" spans="1:29" ht="15.75">
      <c r="A223" s="141">
        <f t="shared" ref="A223:A257" si="29">+A222+1</f>
        <v>3</v>
      </c>
      <c r="B223" s="142" t="s">
        <v>33</v>
      </c>
      <c r="C223" s="142" t="s">
        <v>87</v>
      </c>
      <c r="D223" s="143">
        <v>77.5</v>
      </c>
      <c r="E223" s="356">
        <v>49.02</v>
      </c>
      <c r="F223" s="402">
        <v>73.650000000000006</v>
      </c>
      <c r="G223" s="403">
        <v>27.367000000000001</v>
      </c>
      <c r="H223" s="545">
        <v>73.099999999999994</v>
      </c>
      <c r="I223" s="570">
        <v>24.774000000000001</v>
      </c>
      <c r="J223" s="321"/>
      <c r="K223" s="389" t="b">
        <f t="shared" si="27"/>
        <v>1</v>
      </c>
      <c r="Z223" s="358"/>
      <c r="AA223" s="510">
        <f t="shared" si="26"/>
        <v>158</v>
      </c>
      <c r="AB223">
        <f t="shared" si="28"/>
        <v>1677</v>
      </c>
      <c r="AC223">
        <f t="shared" si="25"/>
        <v>0</v>
      </c>
    </row>
    <row r="224" spans="1:29" ht="15.75">
      <c r="A224" s="141">
        <f t="shared" si="29"/>
        <v>4</v>
      </c>
      <c r="B224" s="142" t="s">
        <v>34</v>
      </c>
      <c r="C224" s="142" t="s">
        <v>88</v>
      </c>
      <c r="D224" s="143">
        <v>463.3</v>
      </c>
      <c r="E224" s="356">
        <v>49.9</v>
      </c>
      <c r="F224" s="404">
        <v>461.79</v>
      </c>
      <c r="G224" s="419">
        <v>21.04</v>
      </c>
      <c r="H224" s="546">
        <v>461.75</v>
      </c>
      <c r="I224" s="577">
        <v>20.399999999999999</v>
      </c>
      <c r="J224" s="318"/>
      <c r="K224" s="389" t="b">
        <f t="shared" si="27"/>
        <v>1</v>
      </c>
      <c r="Z224" s="358"/>
      <c r="AA224" s="510">
        <f t="shared" si="26"/>
        <v>159</v>
      </c>
      <c r="AB224">
        <f t="shared" si="28"/>
        <v>1686</v>
      </c>
      <c r="AC224">
        <f t="shared" si="25"/>
        <v>0</v>
      </c>
    </row>
    <row r="225" spans="1:29" ht="15.75">
      <c r="A225" s="141">
        <f t="shared" si="29"/>
        <v>5</v>
      </c>
      <c r="B225" s="142" t="s">
        <v>35</v>
      </c>
      <c r="C225" s="142" t="s">
        <v>89</v>
      </c>
      <c r="D225" s="143">
        <v>207</v>
      </c>
      <c r="E225" s="356">
        <v>9.5030000000000001</v>
      </c>
      <c r="F225" s="404">
        <v>196.62</v>
      </c>
      <c r="G225" s="420">
        <v>3.0750000000000002</v>
      </c>
      <c r="H225" s="547">
        <v>199.47</v>
      </c>
      <c r="I225" s="589">
        <v>2.9929999999999999</v>
      </c>
      <c r="J225" s="321"/>
      <c r="K225" s="389" t="b">
        <f t="shared" si="27"/>
        <v>0</v>
      </c>
      <c r="Z225" s="358"/>
      <c r="AA225" s="510">
        <f t="shared" si="26"/>
        <v>160</v>
      </c>
      <c r="AB225">
        <f t="shared" si="28"/>
        <v>1687.7</v>
      </c>
      <c r="AC225">
        <f t="shared" si="25"/>
        <v>0</v>
      </c>
    </row>
    <row r="226" spans="1:29" ht="15.75">
      <c r="A226" s="141">
        <f t="shared" si="29"/>
        <v>6</v>
      </c>
      <c r="B226" s="142" t="s">
        <v>36</v>
      </c>
      <c r="C226" s="142" t="s">
        <v>89</v>
      </c>
      <c r="D226" s="143">
        <v>320</v>
      </c>
      <c r="E226" s="144">
        <v>5.1509999999999998</v>
      </c>
      <c r="F226" s="404">
        <v>311.66000000000003</v>
      </c>
      <c r="G226" s="420">
        <v>1.7130000000000001</v>
      </c>
      <c r="H226" s="592">
        <v>311.87</v>
      </c>
      <c r="I226" s="589">
        <v>1.7829999999999999</v>
      </c>
      <c r="J226" s="321"/>
      <c r="K226" s="389" t="b">
        <f t="shared" si="27"/>
        <v>1</v>
      </c>
      <c r="Z226" s="358"/>
      <c r="AA226" s="510">
        <f t="shared" si="26"/>
        <v>161</v>
      </c>
      <c r="AB226">
        <f t="shared" si="28"/>
        <v>1691</v>
      </c>
      <c r="AC226">
        <f t="shared" si="25"/>
        <v>0</v>
      </c>
    </row>
    <row r="227" spans="1:29" ht="15.75">
      <c r="A227" s="141">
        <f t="shared" si="29"/>
        <v>7</v>
      </c>
      <c r="B227" s="142" t="s">
        <v>37</v>
      </c>
      <c r="C227" s="142" t="s">
        <v>90</v>
      </c>
      <c r="D227" s="143">
        <v>90</v>
      </c>
      <c r="E227" s="356">
        <v>723.16</v>
      </c>
      <c r="F227" s="404">
        <v>84.06</v>
      </c>
      <c r="G227" s="421">
        <v>485.46</v>
      </c>
      <c r="H227" s="545">
        <v>81.16</v>
      </c>
      <c r="I227" s="590">
        <v>382.64</v>
      </c>
      <c r="J227" s="318"/>
      <c r="K227" s="389" t="b">
        <f t="shared" si="27"/>
        <v>1</v>
      </c>
      <c r="Z227" s="358"/>
      <c r="AA227" s="510">
        <f t="shared" si="26"/>
        <v>162</v>
      </c>
      <c r="AB227">
        <f t="shared" si="28"/>
        <v>1697.6</v>
      </c>
      <c r="AC227">
        <f t="shared" si="25"/>
        <v>0</v>
      </c>
    </row>
    <row r="228" spans="1:29" ht="15.75">
      <c r="A228" s="141">
        <f t="shared" si="29"/>
        <v>8</v>
      </c>
      <c r="B228" s="142" t="s">
        <v>38</v>
      </c>
      <c r="C228" s="142" t="s">
        <v>91</v>
      </c>
      <c r="D228" s="143">
        <v>120.5</v>
      </c>
      <c r="E228" s="144">
        <v>2.0920000000000001</v>
      </c>
      <c r="F228" s="404">
        <v>114.9</v>
      </c>
      <c r="G228" s="419">
        <v>0.28799999999999998</v>
      </c>
      <c r="H228" s="591">
        <v>115.54</v>
      </c>
      <c r="I228" s="589">
        <v>0.46200000000000002</v>
      </c>
      <c r="J228" s="321" t="s">
        <v>215</v>
      </c>
      <c r="K228" s="389" t="b">
        <f t="shared" si="27"/>
        <v>1</v>
      </c>
      <c r="Z228" s="358"/>
      <c r="AA228" s="510">
        <f t="shared" si="26"/>
        <v>163</v>
      </c>
      <c r="AB228">
        <f t="shared" si="28"/>
        <v>1687.9</v>
      </c>
      <c r="AC228">
        <f t="shared" si="25"/>
        <v>0</v>
      </c>
    </row>
    <row r="229" spans="1:29" ht="15.75">
      <c r="A229" s="141">
        <f t="shared" si="29"/>
        <v>9</v>
      </c>
      <c r="B229" s="142" t="s">
        <v>39</v>
      </c>
      <c r="C229" s="142" t="s">
        <v>91</v>
      </c>
      <c r="D229" s="143">
        <v>120.8</v>
      </c>
      <c r="E229" s="144">
        <v>2.3530000000000002</v>
      </c>
      <c r="F229" s="404">
        <v>113.61</v>
      </c>
      <c r="G229" s="419">
        <v>0.35699999999999998</v>
      </c>
      <c r="H229" s="591">
        <v>119.33</v>
      </c>
      <c r="I229" s="589">
        <v>1.613</v>
      </c>
      <c r="J229" s="321" t="s">
        <v>215</v>
      </c>
      <c r="K229" s="389" t="b">
        <f t="shared" si="27"/>
        <v>1</v>
      </c>
      <c r="Z229" s="358"/>
      <c r="AA229" s="510">
        <f t="shared" si="26"/>
        <v>164</v>
      </c>
      <c r="AB229">
        <f t="shared" si="28"/>
        <v>1685</v>
      </c>
      <c r="AC229">
        <f t="shared" si="25"/>
        <v>0</v>
      </c>
    </row>
    <row r="230" spans="1:29" ht="15.75">
      <c r="A230" s="141">
        <f t="shared" si="29"/>
        <v>10</v>
      </c>
      <c r="B230" s="142" t="s">
        <v>40</v>
      </c>
      <c r="C230" s="142" t="s">
        <v>92</v>
      </c>
      <c r="D230" s="146">
        <v>46.5</v>
      </c>
      <c r="E230" s="149">
        <v>4.5999999999999996</v>
      </c>
      <c r="F230" s="405">
        <v>43.1</v>
      </c>
      <c r="G230" s="408">
        <v>2.1640000000000001</v>
      </c>
      <c r="H230" s="592">
        <v>43.78</v>
      </c>
      <c r="I230" s="571">
        <v>2.5009999999999999</v>
      </c>
      <c r="J230" s="321" t="s">
        <v>216</v>
      </c>
      <c r="K230" s="389" t="b">
        <f t="shared" si="27"/>
        <v>1</v>
      </c>
      <c r="Z230" s="358"/>
      <c r="AA230" s="510">
        <f t="shared" si="26"/>
        <v>165</v>
      </c>
      <c r="AB230">
        <f t="shared" si="28"/>
        <v>1693.7</v>
      </c>
      <c r="AC230">
        <f t="shared" si="25"/>
        <v>0</v>
      </c>
    </row>
    <row r="231" spans="1:29" ht="15.75">
      <c r="A231" s="141">
        <f t="shared" si="29"/>
        <v>11</v>
      </c>
      <c r="B231" s="142" t="s">
        <v>42</v>
      </c>
      <c r="C231" s="142" t="s">
        <v>92</v>
      </c>
      <c r="D231" s="143">
        <v>51.5</v>
      </c>
      <c r="E231" s="144">
        <v>2.4159999999999999</v>
      </c>
      <c r="F231" s="404">
        <v>46.86</v>
      </c>
      <c r="G231" s="421">
        <v>0.90600000000000003</v>
      </c>
      <c r="H231" s="592">
        <v>49.64</v>
      </c>
      <c r="I231" s="593">
        <v>1.96</v>
      </c>
      <c r="J231" s="321" t="s">
        <v>217</v>
      </c>
      <c r="K231" s="389" t="b">
        <f t="shared" si="27"/>
        <v>1</v>
      </c>
      <c r="Z231" s="358"/>
      <c r="AA231" s="510">
        <f t="shared" si="26"/>
        <v>166</v>
      </c>
      <c r="AB231">
        <f t="shared" si="28"/>
        <v>1694.6</v>
      </c>
      <c r="AC231">
        <f t="shared" si="25"/>
        <v>0</v>
      </c>
    </row>
    <row r="232" spans="1:29" ht="15.75">
      <c r="A232" s="141">
        <f t="shared" si="29"/>
        <v>12</v>
      </c>
      <c r="B232" s="142" t="s">
        <v>43</v>
      </c>
      <c r="C232" s="142" t="s">
        <v>90</v>
      </c>
      <c r="D232" s="143">
        <f>71 +10</f>
        <v>81</v>
      </c>
      <c r="E232" s="144">
        <v>1.093</v>
      </c>
      <c r="F232" s="143">
        <f>71 +2.94</f>
        <v>73.94</v>
      </c>
      <c r="G232" s="419">
        <v>0.18</v>
      </c>
      <c r="H232" s="594">
        <f>71 +4.98</f>
        <v>75.98</v>
      </c>
      <c r="I232" s="593">
        <v>0.37</v>
      </c>
      <c r="J232" s="321" t="s">
        <v>215</v>
      </c>
      <c r="K232" s="389" t="b">
        <f t="shared" si="27"/>
        <v>1</v>
      </c>
      <c r="Z232" s="358"/>
      <c r="AA232" s="510">
        <f t="shared" si="26"/>
        <v>167</v>
      </c>
      <c r="AB232">
        <f t="shared" si="28"/>
        <v>1694</v>
      </c>
      <c r="AC232">
        <f t="shared" si="25"/>
        <v>0</v>
      </c>
    </row>
    <row r="233" spans="1:29" ht="15.75">
      <c r="A233" s="141">
        <f t="shared" si="29"/>
        <v>13</v>
      </c>
      <c r="B233" s="142" t="s">
        <v>44</v>
      </c>
      <c r="C233" s="142" t="s">
        <v>90</v>
      </c>
      <c r="D233" s="143">
        <f>75.8+7</f>
        <v>82.8</v>
      </c>
      <c r="E233" s="144">
        <v>0.42899999999999999</v>
      </c>
      <c r="F233" s="143">
        <f>75.8+4.22</f>
        <v>80.02</v>
      </c>
      <c r="G233" s="419">
        <v>8.4000000000000005E-2</v>
      </c>
      <c r="H233" s="594">
        <f>75.8+6.72</f>
        <v>82.52</v>
      </c>
      <c r="I233" s="593">
        <v>0.38500000000000001</v>
      </c>
      <c r="J233" s="321" t="s">
        <v>225</v>
      </c>
      <c r="K233" s="389" t="b">
        <f t="shared" si="27"/>
        <v>1</v>
      </c>
      <c r="Z233" s="358"/>
      <c r="AA233" s="510">
        <f t="shared" si="26"/>
        <v>168</v>
      </c>
      <c r="AB233">
        <f t="shared" si="28"/>
        <v>1719.48</v>
      </c>
      <c r="AC233">
        <f t="shared" si="25"/>
        <v>0</v>
      </c>
    </row>
    <row r="234" spans="1:29" ht="15.75">
      <c r="A234" s="141">
        <f t="shared" si="29"/>
        <v>14</v>
      </c>
      <c r="B234" s="142" t="s">
        <v>45</v>
      </c>
      <c r="C234" s="142" t="s">
        <v>90</v>
      </c>
      <c r="D234" s="143">
        <f>65.65 +4.3</f>
        <v>69.95</v>
      </c>
      <c r="E234" s="144">
        <v>0.25</v>
      </c>
      <c r="F234" s="143">
        <f>65.65 +2</f>
        <v>67.650000000000006</v>
      </c>
      <c r="G234" s="421">
        <v>4.9000000000000002E-2</v>
      </c>
      <c r="H234" s="594">
        <f>65.65 +4.39</f>
        <v>70.040000000000006</v>
      </c>
      <c r="I234" s="593">
        <v>0.26500000000000001</v>
      </c>
      <c r="J234" s="321" t="s">
        <v>225</v>
      </c>
      <c r="K234" s="389" t="b">
        <f t="shared" si="27"/>
        <v>1</v>
      </c>
      <c r="Z234" s="358"/>
      <c r="AA234" s="510">
        <f t="shared" si="26"/>
        <v>169</v>
      </c>
      <c r="AB234">
        <f t="shared" si="28"/>
        <v>1732.4</v>
      </c>
      <c r="AC234">
        <f t="shared" si="25"/>
        <v>0</v>
      </c>
    </row>
    <row r="235" spans="1:29" ht="15.75">
      <c r="A235" s="141">
        <f t="shared" si="29"/>
        <v>15</v>
      </c>
      <c r="B235" s="142" t="s">
        <v>46</v>
      </c>
      <c r="C235" s="142" t="s">
        <v>90</v>
      </c>
      <c r="D235" s="146">
        <v>5.21</v>
      </c>
      <c r="E235" s="144">
        <v>0.38500000000000001</v>
      </c>
      <c r="F235" s="404">
        <v>1.1599999999999999</v>
      </c>
      <c r="G235" s="419">
        <v>0.09</v>
      </c>
      <c r="H235" s="595">
        <v>3.46</v>
      </c>
      <c r="I235" s="589">
        <v>0.14599999999999999</v>
      </c>
      <c r="J235" s="321" t="s">
        <v>215</v>
      </c>
      <c r="K235" s="435" t="b">
        <f t="shared" si="27"/>
        <v>1</v>
      </c>
      <c r="Z235" s="358"/>
      <c r="AA235" s="510">
        <f t="shared" si="26"/>
        <v>170</v>
      </c>
      <c r="AB235">
        <f t="shared" si="28"/>
        <v>1726</v>
      </c>
      <c r="AC235">
        <f t="shared" si="25"/>
        <v>0</v>
      </c>
    </row>
    <row r="236" spans="1:29" ht="15.75">
      <c r="A236" s="141">
        <f t="shared" si="29"/>
        <v>16</v>
      </c>
      <c r="B236" s="142" t="s">
        <v>94</v>
      </c>
      <c r="C236" s="142" t="s">
        <v>47</v>
      </c>
      <c r="D236" s="143">
        <v>138.19999999999999</v>
      </c>
      <c r="E236" s="356">
        <v>440</v>
      </c>
      <c r="F236" s="404">
        <v>127.58</v>
      </c>
      <c r="G236" s="409">
        <v>66.882000000000005</v>
      </c>
      <c r="H236" s="547">
        <v>133.03</v>
      </c>
      <c r="I236" s="571">
        <v>226.399</v>
      </c>
      <c r="J236" s="321"/>
      <c r="K236" s="389" t="b">
        <f t="shared" si="27"/>
        <v>1</v>
      </c>
      <c r="Z236" s="358"/>
      <c r="AA236" s="510">
        <f t="shared" si="26"/>
        <v>171</v>
      </c>
      <c r="AB236">
        <f t="shared" si="28"/>
        <v>1721.9</v>
      </c>
      <c r="AC236">
        <f t="shared" si="25"/>
        <v>0</v>
      </c>
    </row>
    <row r="237" spans="1:29" ht="15.75">
      <c r="A237" s="141">
        <f t="shared" si="29"/>
        <v>17</v>
      </c>
      <c r="B237" s="142" t="s">
        <v>48</v>
      </c>
      <c r="C237" s="142" t="s">
        <v>47</v>
      </c>
      <c r="D237" s="143">
        <v>113.5</v>
      </c>
      <c r="E237" s="144">
        <v>3.7519999999999998</v>
      </c>
      <c r="F237" s="404">
        <v>107.29</v>
      </c>
      <c r="G237" s="421">
        <v>1.2430000000000001</v>
      </c>
      <c r="H237" s="548">
        <v>111.1</v>
      </c>
      <c r="I237" s="571">
        <v>2.5529999999999999</v>
      </c>
      <c r="J237" s="321"/>
      <c r="K237" s="389" t="b">
        <f t="shared" si="27"/>
        <v>1</v>
      </c>
      <c r="Z237" s="358"/>
      <c r="AA237" s="510">
        <f t="shared" si="26"/>
        <v>172</v>
      </c>
      <c r="AB237">
        <f t="shared" si="28"/>
        <v>1726.2</v>
      </c>
      <c r="AC237">
        <f t="shared" si="25"/>
        <v>0</v>
      </c>
    </row>
    <row r="238" spans="1:29" ht="15.75">
      <c r="A238" s="141">
        <f t="shared" si="29"/>
        <v>18</v>
      </c>
      <c r="B238" s="142" t="s">
        <v>49</v>
      </c>
      <c r="C238" s="142" t="s">
        <v>47</v>
      </c>
      <c r="D238" s="143">
        <v>225.4</v>
      </c>
      <c r="E238" s="148">
        <v>1.2</v>
      </c>
      <c r="F238" s="404">
        <v>222.8</v>
      </c>
      <c r="G238" s="421">
        <v>3.9E-2</v>
      </c>
      <c r="H238" s="550">
        <v>225.3</v>
      </c>
      <c r="I238" s="572">
        <v>0.56299999999999994</v>
      </c>
      <c r="J238" s="321"/>
      <c r="K238" s="389" t="b">
        <f t="shared" si="27"/>
        <v>1</v>
      </c>
      <c r="Z238" s="358"/>
      <c r="AA238" s="510">
        <f t="shared" si="26"/>
        <v>173</v>
      </c>
      <c r="AB238">
        <f t="shared" si="28"/>
        <v>1736.6</v>
      </c>
      <c r="AC238">
        <f t="shared" si="25"/>
        <v>0</v>
      </c>
    </row>
    <row r="239" spans="1:29" ht="15.75">
      <c r="A239" s="141">
        <f t="shared" si="29"/>
        <v>19</v>
      </c>
      <c r="B239" s="142" t="s">
        <v>50</v>
      </c>
      <c r="C239" s="142" t="s">
        <v>47</v>
      </c>
      <c r="D239" s="143">
        <v>224</v>
      </c>
      <c r="E239" s="144">
        <v>0.65100000000000002</v>
      </c>
      <c r="F239" s="404">
        <v>215.95</v>
      </c>
      <c r="G239" s="421">
        <v>7.4999999999999997E-2</v>
      </c>
      <c r="H239" s="548">
        <v>221</v>
      </c>
      <c r="I239" s="573">
        <v>0.35</v>
      </c>
      <c r="J239" s="321"/>
      <c r="K239" s="389" t="b">
        <f t="shared" si="27"/>
        <v>1</v>
      </c>
      <c r="Z239" s="358"/>
      <c r="AA239" s="510">
        <f t="shared" si="26"/>
        <v>174</v>
      </c>
      <c r="AB239">
        <f t="shared" si="28"/>
        <v>1731.6</v>
      </c>
      <c r="AC239">
        <f t="shared" si="25"/>
        <v>0</v>
      </c>
    </row>
    <row r="240" spans="1:29" ht="15.75">
      <c r="A240" s="141">
        <f t="shared" si="29"/>
        <v>20</v>
      </c>
      <c r="B240" s="142" t="s">
        <v>51</v>
      </c>
      <c r="C240" s="142" t="s">
        <v>47</v>
      </c>
      <c r="D240" s="143">
        <v>196</v>
      </c>
      <c r="E240" s="144">
        <v>1.5820000000000001</v>
      </c>
      <c r="F240" s="404">
        <v>192.95</v>
      </c>
      <c r="G240" s="421">
        <v>1.1000000000000001</v>
      </c>
      <c r="H240" s="548">
        <v>196.2</v>
      </c>
      <c r="I240" s="571">
        <v>1.615</v>
      </c>
      <c r="J240" s="321"/>
      <c r="K240" s="389" t="b">
        <f t="shared" si="27"/>
        <v>1</v>
      </c>
      <c r="Z240" s="358"/>
      <c r="AA240" s="510">
        <f t="shared" si="26"/>
        <v>175</v>
      </c>
      <c r="AB240">
        <f t="shared" si="28"/>
        <v>1720.5</v>
      </c>
      <c r="AC240">
        <f t="shared" si="25"/>
        <v>0</v>
      </c>
    </row>
    <row r="241" spans="1:29" ht="16.5" thickBot="1">
      <c r="A241" s="150">
        <f t="shared" si="29"/>
        <v>21</v>
      </c>
      <c r="B241" s="151" t="s">
        <v>52</v>
      </c>
      <c r="C241" s="151" t="s">
        <v>47</v>
      </c>
      <c r="D241" s="152">
        <v>174</v>
      </c>
      <c r="E241" s="153">
        <v>0.47899999999999998</v>
      </c>
      <c r="F241" s="422">
        <v>172.62</v>
      </c>
      <c r="G241" s="423">
        <v>9.8000000000000004E-2</v>
      </c>
      <c r="H241" s="551">
        <v>174</v>
      </c>
      <c r="I241" s="574">
        <v>0.249</v>
      </c>
      <c r="J241" s="370"/>
      <c r="K241" s="389" t="b">
        <f t="shared" si="27"/>
        <v>1</v>
      </c>
      <c r="Z241" s="358"/>
      <c r="AA241" s="510">
        <f t="shared" si="26"/>
        <v>176</v>
      </c>
      <c r="AB241">
        <f t="shared" si="28"/>
        <v>1716</v>
      </c>
      <c r="AC241">
        <f t="shared" si="25"/>
        <v>0</v>
      </c>
    </row>
    <row r="242" spans="1:29" ht="15.75">
      <c r="A242" s="138">
        <f t="shared" si="29"/>
        <v>22</v>
      </c>
      <c r="B242" s="139" t="s">
        <v>53</v>
      </c>
      <c r="C242" s="139" t="s">
        <v>47</v>
      </c>
      <c r="D242" s="140">
        <v>229.1</v>
      </c>
      <c r="E242" s="368">
        <v>0.79200000000000004</v>
      </c>
      <c r="F242" s="424">
        <v>219.01</v>
      </c>
      <c r="G242" s="425">
        <v>8.8999999999999996E-2</v>
      </c>
      <c r="H242" s="552">
        <v>220.85</v>
      </c>
      <c r="I242" s="575">
        <v>0.16400000000000001</v>
      </c>
      <c r="J242" s="369"/>
      <c r="K242" s="389" t="b">
        <f t="shared" si="27"/>
        <v>1</v>
      </c>
      <c r="Z242" s="358"/>
      <c r="AA242" s="510">
        <f t="shared" si="26"/>
        <v>177</v>
      </c>
      <c r="AB242">
        <f t="shared" si="28"/>
        <v>1708.6</v>
      </c>
      <c r="AC242">
        <f t="shared" si="25"/>
        <v>0</v>
      </c>
    </row>
    <row r="243" spans="1:29" ht="15.75">
      <c r="A243" s="141">
        <f t="shared" si="29"/>
        <v>23</v>
      </c>
      <c r="B243" s="142" t="s">
        <v>54</v>
      </c>
      <c r="C243" s="142" t="s">
        <v>47</v>
      </c>
      <c r="D243" s="143">
        <v>249</v>
      </c>
      <c r="E243" s="144">
        <v>2.1240000000000001</v>
      </c>
      <c r="F243" s="404">
        <v>241.47</v>
      </c>
      <c r="G243" s="421">
        <v>0.5</v>
      </c>
      <c r="H243" s="548">
        <v>245.7</v>
      </c>
      <c r="I243" s="573">
        <v>1.1379999999999999</v>
      </c>
      <c r="J243" s="321"/>
      <c r="K243" s="389" t="b">
        <f t="shared" si="27"/>
        <v>1</v>
      </c>
      <c r="Z243" s="358"/>
      <c r="AA243" s="510">
        <f t="shared" si="26"/>
        <v>178</v>
      </c>
      <c r="AB243">
        <f t="shared" si="28"/>
        <v>1698.4</v>
      </c>
      <c r="AC243">
        <f t="shared" si="25"/>
        <v>0</v>
      </c>
    </row>
    <row r="244" spans="1:29" ht="15.75">
      <c r="A244" s="141">
        <f t="shared" si="29"/>
        <v>24</v>
      </c>
      <c r="B244" s="142" t="s">
        <v>55</v>
      </c>
      <c r="C244" s="142" t="s">
        <v>95</v>
      </c>
      <c r="D244" s="143">
        <v>164.75</v>
      </c>
      <c r="E244" s="148">
        <v>5</v>
      </c>
      <c r="F244" s="404">
        <v>156.11000000000001</v>
      </c>
      <c r="G244" s="421">
        <v>0.98599999999999999</v>
      </c>
      <c r="H244" s="547">
        <v>156.30000000000001</v>
      </c>
      <c r="I244" s="573">
        <v>1.044</v>
      </c>
      <c r="J244" s="321"/>
      <c r="K244" s="389" t="b">
        <f t="shared" si="27"/>
        <v>1</v>
      </c>
      <c r="Z244" s="358"/>
      <c r="AA244" s="510">
        <f t="shared" si="26"/>
        <v>179</v>
      </c>
      <c r="AB244">
        <f t="shared" si="28"/>
        <v>1691.4</v>
      </c>
      <c r="AC244">
        <f t="shared" si="25"/>
        <v>0</v>
      </c>
    </row>
    <row r="245" spans="1:29" ht="15.75">
      <c r="A245" s="141">
        <f t="shared" si="29"/>
        <v>25</v>
      </c>
      <c r="B245" s="142" t="s">
        <v>56</v>
      </c>
      <c r="C245" s="142" t="s">
        <v>95</v>
      </c>
      <c r="D245" s="143">
        <v>179.1</v>
      </c>
      <c r="E245" s="144">
        <v>4.2</v>
      </c>
      <c r="F245" s="426">
        <v>168.86</v>
      </c>
      <c r="G245" s="420">
        <v>0.47599999999999998</v>
      </c>
      <c r="H245" s="547">
        <v>174.51</v>
      </c>
      <c r="I245" s="571">
        <v>1.889</v>
      </c>
      <c r="J245" s="321"/>
      <c r="K245" s="389" t="b">
        <f t="shared" si="27"/>
        <v>1</v>
      </c>
      <c r="Z245" s="358"/>
      <c r="AA245" s="510">
        <f t="shared" si="26"/>
        <v>180</v>
      </c>
      <c r="AB245">
        <f t="shared" si="28"/>
        <v>1687.45</v>
      </c>
      <c r="AC245">
        <f t="shared" si="25"/>
        <v>0</v>
      </c>
    </row>
    <row r="246" spans="1:29" ht="15.75">
      <c r="A246" s="141">
        <f t="shared" si="29"/>
        <v>26</v>
      </c>
      <c r="B246" s="142" t="s">
        <v>57</v>
      </c>
      <c r="C246" s="142" t="s">
        <v>96</v>
      </c>
      <c r="D246" s="143">
        <v>326.56</v>
      </c>
      <c r="E246" s="144">
        <v>0.70099999999999996</v>
      </c>
      <c r="F246" s="407">
        <v>318.94</v>
      </c>
      <c r="G246" s="406">
        <v>0.222</v>
      </c>
      <c r="H246" s="548">
        <v>325.56</v>
      </c>
      <c r="I246" s="573">
        <v>0.70099999999999996</v>
      </c>
      <c r="J246" s="321"/>
      <c r="K246" s="389" t="b">
        <f t="shared" si="27"/>
        <v>1</v>
      </c>
      <c r="Z246" s="358"/>
      <c r="AA246" s="510">
        <f t="shared" si="26"/>
        <v>181</v>
      </c>
      <c r="AB246">
        <f t="shared" si="28"/>
        <v>1683.4</v>
      </c>
      <c r="AC246">
        <f t="shared" si="25"/>
        <v>0</v>
      </c>
    </row>
    <row r="247" spans="1:29" ht="15.75">
      <c r="A247" s="141">
        <f t="shared" si="29"/>
        <v>27</v>
      </c>
      <c r="B247" s="142" t="s">
        <v>58</v>
      </c>
      <c r="C247" s="142" t="s">
        <v>96</v>
      </c>
      <c r="D247" s="143">
        <v>129.19999999999999</v>
      </c>
      <c r="E247" s="144">
        <v>0.5</v>
      </c>
      <c r="F247" s="404">
        <v>125.89</v>
      </c>
      <c r="G247" s="421">
        <v>0.16400000000000001</v>
      </c>
      <c r="H247" s="548">
        <v>127.6</v>
      </c>
      <c r="I247" s="571">
        <v>0.34</v>
      </c>
      <c r="J247" s="321"/>
      <c r="K247" s="389" t="b">
        <f t="shared" si="27"/>
        <v>1</v>
      </c>
      <c r="Z247" s="358"/>
      <c r="AA247" s="510">
        <f t="shared" si="26"/>
        <v>182</v>
      </c>
      <c r="AB247">
        <f t="shared" ref="AB247:AB277" si="30">IF(S7="tad","tad",S7)</f>
        <v>1684.0540000000001</v>
      </c>
      <c r="AC247">
        <f t="shared" si="25"/>
        <v>0</v>
      </c>
    </row>
    <row r="248" spans="1:29" ht="15.75">
      <c r="A248" s="141">
        <f t="shared" si="29"/>
        <v>28</v>
      </c>
      <c r="B248" s="142" t="s">
        <v>59</v>
      </c>
      <c r="C248" s="142" t="s">
        <v>96</v>
      </c>
      <c r="D248" s="143">
        <v>282.76</v>
      </c>
      <c r="E248" s="144">
        <v>0.51300000000000001</v>
      </c>
      <c r="F248" s="404">
        <v>279.52999999999997</v>
      </c>
      <c r="G248" s="421">
        <v>0.16900000000000001</v>
      </c>
      <c r="H248" s="550">
        <v>282.77999999999997</v>
      </c>
      <c r="I248" s="571">
        <v>0.51300000000000001</v>
      </c>
      <c r="J248" s="321"/>
      <c r="K248" s="389" t="b">
        <f t="shared" si="27"/>
        <v>1</v>
      </c>
      <c r="Z248" s="358"/>
      <c r="AA248" s="510">
        <f t="shared" si="26"/>
        <v>183</v>
      </c>
      <c r="AB248">
        <f t="shared" si="30"/>
        <v>1684</v>
      </c>
      <c r="AC248">
        <f t="shared" si="25"/>
        <v>0</v>
      </c>
    </row>
    <row r="249" spans="1:29" ht="15.75">
      <c r="A249" s="141">
        <f t="shared" si="29"/>
        <v>29</v>
      </c>
      <c r="B249" s="142" t="s">
        <v>60</v>
      </c>
      <c r="C249" s="142" t="s">
        <v>96</v>
      </c>
      <c r="D249" s="143">
        <v>99</v>
      </c>
      <c r="E249" s="144">
        <v>2.6110000000000002</v>
      </c>
      <c r="F249" s="404">
        <v>93.8</v>
      </c>
      <c r="G249" s="421">
        <v>0.58899999999999997</v>
      </c>
      <c r="H249" s="548">
        <v>97.89</v>
      </c>
      <c r="I249" s="573">
        <v>2.028</v>
      </c>
      <c r="J249" s="321"/>
      <c r="K249" s="389" t="b">
        <f t="shared" si="27"/>
        <v>1</v>
      </c>
      <c r="Z249" s="358"/>
      <c r="AA249" s="510">
        <f t="shared" si="26"/>
        <v>184</v>
      </c>
      <c r="AB249">
        <f t="shared" si="30"/>
        <v>1686</v>
      </c>
      <c r="AC249">
        <f t="shared" si="25"/>
        <v>0</v>
      </c>
    </row>
    <row r="250" spans="1:29" ht="15.75">
      <c r="A250" s="141">
        <f t="shared" si="29"/>
        <v>30</v>
      </c>
      <c r="B250" s="142" t="s">
        <v>61</v>
      </c>
      <c r="C250" s="142" t="s">
        <v>96</v>
      </c>
      <c r="D250" s="143">
        <v>189.7</v>
      </c>
      <c r="E250" s="148">
        <v>0.08</v>
      </c>
      <c r="F250" s="404">
        <v>188.18</v>
      </c>
      <c r="G250" s="421">
        <v>0.03</v>
      </c>
      <c r="H250" s="548">
        <v>187.7</v>
      </c>
      <c r="I250" s="573">
        <v>7.9000000000000001E-2</v>
      </c>
      <c r="J250" s="321"/>
      <c r="K250" s="389" t="b">
        <f t="shared" si="27"/>
        <v>0</v>
      </c>
      <c r="Z250" s="358"/>
      <c r="AA250" s="510">
        <f t="shared" si="26"/>
        <v>185</v>
      </c>
      <c r="AB250">
        <f t="shared" si="30"/>
        <v>1689</v>
      </c>
      <c r="AC250">
        <f t="shared" si="25"/>
        <v>0</v>
      </c>
    </row>
    <row r="251" spans="1:29" ht="15.75">
      <c r="A251" s="141">
        <f t="shared" si="29"/>
        <v>31</v>
      </c>
      <c r="B251" s="142" t="s">
        <v>62</v>
      </c>
      <c r="C251" s="142" t="s">
        <v>96</v>
      </c>
      <c r="D251" s="143">
        <v>171.16</v>
      </c>
      <c r="E251" s="144">
        <v>9.6000000000000002E-2</v>
      </c>
      <c r="F251" s="402">
        <v>169.19</v>
      </c>
      <c r="G251" s="403">
        <v>4.8000000000000001E-2</v>
      </c>
      <c r="H251" s="548">
        <v>171.46</v>
      </c>
      <c r="I251" s="573">
        <v>0.10299999999999999</v>
      </c>
      <c r="J251" s="321"/>
      <c r="K251" s="389" t="b">
        <f t="shared" si="27"/>
        <v>1</v>
      </c>
      <c r="Z251" s="358"/>
      <c r="AA251" s="510">
        <f t="shared" si="26"/>
        <v>186</v>
      </c>
      <c r="AB251">
        <f t="shared" si="30"/>
        <v>1689</v>
      </c>
      <c r="AC251">
        <f t="shared" si="25"/>
        <v>0</v>
      </c>
    </row>
    <row r="252" spans="1:29" ht="15.75">
      <c r="A252" s="141">
        <f t="shared" si="29"/>
        <v>32</v>
      </c>
      <c r="B252" s="142" t="s">
        <v>63</v>
      </c>
      <c r="C252" s="142" t="s">
        <v>97</v>
      </c>
      <c r="D252" s="143">
        <v>142.6</v>
      </c>
      <c r="E252" s="356">
        <v>9.157</v>
      </c>
      <c r="F252" s="404">
        <v>137.94999999999999</v>
      </c>
      <c r="G252" s="409">
        <v>1.8169999999999999</v>
      </c>
      <c r="H252" s="545">
        <v>140</v>
      </c>
      <c r="I252" s="576">
        <v>2.714</v>
      </c>
      <c r="J252" s="321"/>
      <c r="K252" s="389" t="b">
        <f t="shared" si="27"/>
        <v>1</v>
      </c>
      <c r="Z252" s="358"/>
      <c r="AA252" s="510">
        <f t="shared" si="26"/>
        <v>187</v>
      </c>
      <c r="AB252">
        <f t="shared" si="30"/>
        <v>1683</v>
      </c>
      <c r="AC252">
        <f t="shared" si="25"/>
        <v>0</v>
      </c>
    </row>
    <row r="253" spans="1:29" ht="15.75">
      <c r="A253" s="141">
        <f t="shared" si="29"/>
        <v>33</v>
      </c>
      <c r="B253" s="142" t="s">
        <v>64</v>
      </c>
      <c r="C253" s="142" t="s">
        <v>97</v>
      </c>
      <c r="D253" s="143">
        <v>239.5</v>
      </c>
      <c r="E253" s="144">
        <v>2.6720000000000002</v>
      </c>
      <c r="F253" s="404">
        <v>235.17</v>
      </c>
      <c r="G253" s="419">
        <v>0.64900000000000002</v>
      </c>
      <c r="H253" s="545">
        <v>235.9</v>
      </c>
      <c r="I253" s="576">
        <v>0.90900000000000003</v>
      </c>
      <c r="J253" s="321"/>
      <c r="K253" s="389" t="b">
        <f t="shared" si="27"/>
        <v>1</v>
      </c>
      <c r="Z253" s="358"/>
      <c r="AA253" s="510">
        <f t="shared" si="26"/>
        <v>188</v>
      </c>
      <c r="AB253">
        <f t="shared" si="30"/>
        <v>1674</v>
      </c>
      <c r="AC253">
        <f t="shared" si="25"/>
        <v>0</v>
      </c>
    </row>
    <row r="254" spans="1:29" ht="15.75">
      <c r="A254" s="141">
        <f t="shared" si="29"/>
        <v>34</v>
      </c>
      <c r="B254" s="142" t="s">
        <v>65</v>
      </c>
      <c r="C254" s="142" t="s">
        <v>98</v>
      </c>
      <c r="D254" s="143">
        <v>120.5</v>
      </c>
      <c r="E254" s="144">
        <v>3.677</v>
      </c>
      <c r="F254" s="404">
        <v>118.93</v>
      </c>
      <c r="G254" s="421">
        <v>1.0449999999999999</v>
      </c>
      <c r="H254" s="547">
        <v>120.44</v>
      </c>
      <c r="I254" s="571">
        <v>3.5630000000000002</v>
      </c>
      <c r="J254" s="321"/>
      <c r="K254" s="389" t="b">
        <f t="shared" si="27"/>
        <v>1</v>
      </c>
      <c r="Z254" s="358"/>
      <c r="AA254" s="510">
        <f t="shared" si="26"/>
        <v>189</v>
      </c>
      <c r="AB254">
        <f t="shared" si="30"/>
        <v>1669</v>
      </c>
      <c r="AC254">
        <f t="shared" si="25"/>
        <v>0</v>
      </c>
    </row>
    <row r="255" spans="1:29" ht="15.75">
      <c r="A255" s="141">
        <f t="shared" si="29"/>
        <v>35</v>
      </c>
      <c r="B255" s="142" t="s">
        <v>66</v>
      </c>
      <c r="C255" s="142" t="s">
        <v>99</v>
      </c>
      <c r="D255" s="143">
        <v>110.56</v>
      </c>
      <c r="E255" s="144">
        <v>2.75</v>
      </c>
      <c r="F255" s="404">
        <v>108.08</v>
      </c>
      <c r="G255" s="421">
        <v>0.53500000000000003</v>
      </c>
      <c r="H255" s="547">
        <v>109.51</v>
      </c>
      <c r="I255" s="571">
        <v>1.32</v>
      </c>
      <c r="J255" s="321"/>
      <c r="K255" s="389" t="b">
        <f t="shared" si="27"/>
        <v>1</v>
      </c>
      <c r="Z255" s="358"/>
      <c r="AA255" s="510">
        <f t="shared" si="26"/>
        <v>190</v>
      </c>
      <c r="AB255">
        <f t="shared" si="30"/>
        <v>1676</v>
      </c>
      <c r="AC255">
        <f t="shared" si="25"/>
        <v>0</v>
      </c>
    </row>
    <row r="256" spans="1:29" ht="15.75">
      <c r="A256" s="141">
        <f t="shared" si="29"/>
        <v>36</v>
      </c>
      <c r="B256" s="142" t="s">
        <v>67</v>
      </c>
      <c r="C256" s="142" t="s">
        <v>100</v>
      </c>
      <c r="D256" s="143">
        <v>72</v>
      </c>
      <c r="E256" s="356">
        <v>38.036000000000001</v>
      </c>
      <c r="F256" s="402">
        <v>61.05</v>
      </c>
      <c r="G256" s="403">
        <v>16.39</v>
      </c>
      <c r="H256" s="561">
        <v>68.599999999999994</v>
      </c>
      <c r="I256" s="570">
        <v>30.106000000000002</v>
      </c>
      <c r="J256" s="321"/>
      <c r="K256" s="389" t="b">
        <f t="shared" si="27"/>
        <v>1</v>
      </c>
      <c r="Z256" s="358"/>
      <c r="AA256" s="510">
        <f t="shared" si="26"/>
        <v>191</v>
      </c>
      <c r="AB256">
        <f t="shared" si="30"/>
        <v>1661.7</v>
      </c>
      <c r="AC256">
        <f t="shared" si="25"/>
        <v>0</v>
      </c>
    </row>
    <row r="257" spans="1:29" ht="15.75">
      <c r="A257" s="141">
        <f t="shared" si="29"/>
        <v>37</v>
      </c>
      <c r="B257" s="142" t="s">
        <v>68</v>
      </c>
      <c r="C257" s="142" t="s">
        <v>100</v>
      </c>
      <c r="D257" s="143">
        <v>185</v>
      </c>
      <c r="E257" s="356">
        <v>412.66</v>
      </c>
      <c r="F257" s="402">
        <v>174</v>
      </c>
      <c r="G257" s="403">
        <v>280.714</v>
      </c>
      <c r="H257" s="545">
        <v>173</v>
      </c>
      <c r="I257" s="570">
        <v>271.37099999999998</v>
      </c>
      <c r="J257" s="321"/>
      <c r="K257" s="389" t="b">
        <f t="shared" si="27"/>
        <v>1</v>
      </c>
      <c r="Z257" s="358"/>
      <c r="AA257" s="510">
        <f t="shared" si="26"/>
        <v>192</v>
      </c>
      <c r="AB257">
        <f t="shared" si="30"/>
        <v>1661.35</v>
      </c>
      <c r="AC257">
        <f t="shared" si="25"/>
        <v>0</v>
      </c>
    </row>
    <row r="258" spans="1:29" ht="16.5" thickBot="1">
      <c r="A258" s="150">
        <v>38</v>
      </c>
      <c r="B258" s="151" t="s">
        <v>69</v>
      </c>
      <c r="C258" s="151" t="s">
        <v>101</v>
      </c>
      <c r="D258" s="152">
        <v>231</v>
      </c>
      <c r="E258" s="357">
        <v>31.8</v>
      </c>
      <c r="F258" s="410">
        <v>230.65</v>
      </c>
      <c r="G258" s="411">
        <v>22.28</v>
      </c>
      <c r="H258" s="562">
        <v>230.1</v>
      </c>
      <c r="I258" s="596">
        <v>18.350000000000001</v>
      </c>
      <c r="J258" s="321"/>
      <c r="K258" s="389" t="b">
        <f t="shared" si="27"/>
        <v>1</v>
      </c>
      <c r="Z258" s="358"/>
      <c r="AA258" s="510">
        <f t="shared" si="26"/>
        <v>193</v>
      </c>
      <c r="AB258">
        <f t="shared" si="30"/>
        <v>1663.6</v>
      </c>
      <c r="AC258">
        <f t="shared" ref="AC258:AC321" si="31">IF(COUNT(AA258:AB258)=2,0,-Z$49/500)</f>
        <v>0</v>
      </c>
    </row>
    <row r="259" spans="1:29" ht="16.5" thickBot="1">
      <c r="A259" s="154"/>
      <c r="B259" s="155" t="s">
        <v>70</v>
      </c>
      <c r="C259" s="155"/>
      <c r="D259" s="156"/>
      <c r="E259" s="157">
        <f>SUM(E221:E258)</f>
        <v>1860.202</v>
      </c>
      <c r="F259" s="412"/>
      <c r="G259" s="374">
        <f>SUM(G221:G258)</f>
        <v>967.48399999999992</v>
      </c>
      <c r="H259" s="553"/>
      <c r="I259" s="470">
        <f>SUM(I221:I258)</f>
        <v>1025.48</v>
      </c>
      <c r="J259" s="158">
        <f>+I259-G259</f>
        <v>57.996000000000095</v>
      </c>
      <c r="K259" s="389"/>
      <c r="Z259" s="358"/>
      <c r="AA259" s="510">
        <f t="shared" ref="AA259:AA322" si="32">AA258+1</f>
        <v>194</v>
      </c>
      <c r="AB259">
        <f t="shared" si="30"/>
        <v>1668</v>
      </c>
      <c r="AC259">
        <f t="shared" si="31"/>
        <v>0</v>
      </c>
    </row>
    <row r="260" spans="1:29" ht="16.5" thickBot="1">
      <c r="A260" s="159" t="s">
        <v>71</v>
      </c>
      <c r="B260" s="155" t="s">
        <v>72</v>
      </c>
      <c r="C260" s="155"/>
      <c r="D260" s="156"/>
      <c r="E260" s="157"/>
      <c r="F260" s="427"/>
      <c r="G260" s="428">
        <v>1</v>
      </c>
      <c r="H260" s="553"/>
      <c r="I260" s="471">
        <f>+I259/G259</f>
        <v>1.0599451773879465</v>
      </c>
      <c r="J260" s="160">
        <f>+I260-G260</f>
        <v>5.9945177387946469E-2</v>
      </c>
      <c r="K260" s="389"/>
      <c r="Z260" s="358"/>
      <c r="AA260" s="510">
        <f t="shared" si="32"/>
        <v>195</v>
      </c>
      <c r="AB260">
        <f t="shared" si="30"/>
        <v>1674.07</v>
      </c>
      <c r="AC260">
        <f t="shared" si="31"/>
        <v>0</v>
      </c>
    </row>
    <row r="261" spans="1:29" ht="16.5" thickBot="1">
      <c r="A261" s="200"/>
      <c r="B261" s="199"/>
      <c r="C261" s="198"/>
      <c r="D261" s="162"/>
      <c r="E261" s="163">
        <v>1</v>
      </c>
      <c r="F261" s="429" t="s">
        <v>71</v>
      </c>
      <c r="G261" s="375">
        <f>+G259/E259*100%</f>
        <v>0.52009620460573636</v>
      </c>
      <c r="H261" s="484"/>
      <c r="I261" s="472">
        <f>+I259/E259</f>
        <v>0.55127346384962495</v>
      </c>
      <c r="J261" s="160">
        <f>+I261-E261</f>
        <v>-0.44872653615037505</v>
      </c>
      <c r="K261" s="389"/>
      <c r="Z261" s="358"/>
      <c r="AA261" s="510">
        <f t="shared" si="32"/>
        <v>196</v>
      </c>
      <c r="AB261">
        <f t="shared" si="30"/>
        <v>1670.76</v>
      </c>
      <c r="AC261">
        <f t="shared" si="31"/>
        <v>0</v>
      </c>
    </row>
    <row r="262" spans="1:29" ht="15.75">
      <c r="A262" s="161"/>
      <c r="B262" s="162"/>
      <c r="C262" s="162"/>
      <c r="D262" s="162"/>
      <c r="E262" s="162"/>
      <c r="F262" s="377"/>
      <c r="G262" s="429"/>
      <c r="H262" s="484"/>
      <c r="I262" s="473"/>
      <c r="J262" s="165"/>
      <c r="K262" s="389"/>
      <c r="Z262" s="358"/>
      <c r="AA262" s="510">
        <f t="shared" si="32"/>
        <v>197</v>
      </c>
      <c r="AB262">
        <f t="shared" si="30"/>
        <v>1640.47</v>
      </c>
      <c r="AC262">
        <f t="shared" si="31"/>
        <v>0</v>
      </c>
    </row>
    <row r="263" spans="1:29" ht="15.75">
      <c r="A263" s="161"/>
      <c r="B263" s="162"/>
      <c r="C263" s="162"/>
      <c r="D263" s="162"/>
      <c r="E263" s="164">
        <f>+F264/E259*100</f>
        <v>0.25637000712825814</v>
      </c>
      <c r="F263" s="377"/>
      <c r="G263" s="429"/>
      <c r="H263" s="484"/>
      <c r="I263" s="473"/>
      <c r="K263" s="389"/>
      <c r="Z263" s="358"/>
      <c r="AA263" s="510">
        <f t="shared" si="32"/>
        <v>198</v>
      </c>
      <c r="AB263">
        <f t="shared" si="30"/>
        <v>1665.32</v>
      </c>
      <c r="AC263">
        <f t="shared" si="31"/>
        <v>0</v>
      </c>
    </row>
    <row r="264" spans="1:29" ht="15.75">
      <c r="A264" s="162"/>
      <c r="B264" s="162"/>
      <c r="C264" s="162"/>
      <c r="D264" s="162"/>
      <c r="E264" s="162"/>
      <c r="F264" s="447">
        <f>+G251+G250+G249+G248+G247+G246+G244+G243+G242+G241+G240+G238+G235+G229+G228</f>
        <v>4.7690000000000001</v>
      </c>
      <c r="G264" s="429">
        <f>+G262/G259*100</f>
        <v>0</v>
      </c>
      <c r="H264" s="484" t="s">
        <v>71</v>
      </c>
      <c r="I264" s="473" t="s">
        <v>71</v>
      </c>
      <c r="K264" s="389"/>
      <c r="Z264" s="358"/>
      <c r="AA264" s="510">
        <f t="shared" si="32"/>
        <v>199</v>
      </c>
      <c r="AB264">
        <f t="shared" si="30"/>
        <v>1659.42</v>
      </c>
      <c r="AC264">
        <f t="shared" si="31"/>
        <v>0</v>
      </c>
    </row>
    <row r="265" spans="1:29" ht="15.75">
      <c r="A265" s="176"/>
      <c r="B265" s="176"/>
      <c r="C265" s="201"/>
      <c r="D265" s="176"/>
      <c r="E265" s="176"/>
      <c r="F265" s="431"/>
      <c r="G265" s="432"/>
      <c r="H265" s="554"/>
      <c r="I265" s="474"/>
      <c r="K265" s="389"/>
      <c r="Z265" s="358"/>
      <c r="AA265" s="510">
        <f t="shared" si="32"/>
        <v>200</v>
      </c>
      <c r="AB265">
        <f t="shared" si="30"/>
        <v>1653.57</v>
      </c>
      <c r="AC265">
        <f t="shared" si="31"/>
        <v>0</v>
      </c>
    </row>
    <row r="266" spans="1:29" ht="21.75">
      <c r="A266" s="237"/>
      <c r="B266" s="236"/>
      <c r="C266" s="236"/>
      <c r="D266" s="236"/>
      <c r="E266" s="236"/>
      <c r="F266" s="376"/>
      <c r="G266" s="376"/>
      <c r="H266" s="475"/>
      <c r="I266" s="475"/>
      <c r="K266" s="389"/>
      <c r="Z266" s="358"/>
      <c r="AA266" s="510">
        <f t="shared" si="32"/>
        <v>201</v>
      </c>
      <c r="AB266">
        <f t="shared" si="30"/>
        <v>1650.29</v>
      </c>
      <c r="AC266">
        <f t="shared" si="31"/>
        <v>0</v>
      </c>
    </row>
    <row r="267" spans="1:29" ht="13.5" thickBot="1">
      <c r="F267" s="377"/>
      <c r="G267" s="377"/>
      <c r="H267" s="484"/>
      <c r="I267" s="484"/>
      <c r="K267" s="389"/>
      <c r="Z267" s="358"/>
      <c r="AA267" s="510">
        <f t="shared" si="32"/>
        <v>202</v>
      </c>
      <c r="AB267">
        <f t="shared" si="30"/>
        <v>1646.36</v>
      </c>
      <c r="AC267">
        <f t="shared" si="31"/>
        <v>0</v>
      </c>
    </row>
    <row r="268" spans="1:29" ht="15.75">
      <c r="A268" s="605" t="s">
        <v>20</v>
      </c>
      <c r="B268" s="608" t="s">
        <v>21</v>
      </c>
      <c r="C268" s="608" t="s">
        <v>85</v>
      </c>
      <c r="D268" s="231" t="s">
        <v>22</v>
      </c>
      <c r="E268" s="232"/>
      <c r="F268" s="394" t="s">
        <v>23</v>
      </c>
      <c r="G268" s="395"/>
      <c r="H268" s="555" t="s">
        <v>24</v>
      </c>
      <c r="I268" s="479"/>
      <c r="J268" s="382"/>
      <c r="K268" s="389"/>
      <c r="Z268" s="358"/>
      <c r="AA268" s="510">
        <f t="shared" si="32"/>
        <v>203</v>
      </c>
      <c r="AB268">
        <f t="shared" si="30"/>
        <v>1643.24</v>
      </c>
      <c r="AC268">
        <f t="shared" si="31"/>
        <v>0</v>
      </c>
    </row>
    <row r="269" spans="1:29" ht="15.75">
      <c r="A269" s="606"/>
      <c r="B269" s="609"/>
      <c r="C269" s="609"/>
      <c r="D269" s="4" t="s">
        <v>26</v>
      </c>
      <c r="E269" s="4" t="s">
        <v>27</v>
      </c>
      <c r="F269" s="396" t="s">
        <v>26</v>
      </c>
      <c r="G269" s="397" t="s">
        <v>27</v>
      </c>
      <c r="H269" s="556" t="s">
        <v>26</v>
      </c>
      <c r="I269" s="480" t="s">
        <v>27</v>
      </c>
      <c r="J269" s="82"/>
      <c r="K269" s="389"/>
      <c r="Z269" s="358"/>
      <c r="AA269" s="510">
        <f t="shared" si="32"/>
        <v>204</v>
      </c>
      <c r="AB269">
        <f t="shared" si="30"/>
        <v>1641.46</v>
      </c>
      <c r="AC269">
        <f t="shared" si="31"/>
        <v>0</v>
      </c>
    </row>
    <row r="270" spans="1:29" ht="19.5" thickBot="1">
      <c r="A270" s="607"/>
      <c r="B270" s="610"/>
      <c r="C270" s="610"/>
      <c r="D270" s="2" t="s">
        <v>28</v>
      </c>
      <c r="E270" s="2" t="s">
        <v>29</v>
      </c>
      <c r="F270" s="398" t="s">
        <v>28</v>
      </c>
      <c r="G270" s="399" t="s">
        <v>29</v>
      </c>
      <c r="H270" s="557" t="s">
        <v>28</v>
      </c>
      <c r="I270" s="481" t="s">
        <v>29</v>
      </c>
      <c r="J270" s="82"/>
      <c r="K270" s="389"/>
      <c r="Z270" s="358"/>
      <c r="AA270" s="510">
        <f t="shared" si="32"/>
        <v>205</v>
      </c>
      <c r="AB270">
        <f t="shared" si="30"/>
        <v>1637.38</v>
      </c>
      <c r="AC270">
        <f t="shared" si="31"/>
        <v>0</v>
      </c>
    </row>
    <row r="271" spans="1:29" ht="16.5" thickBot="1">
      <c r="A271" s="70">
        <v>1</v>
      </c>
      <c r="B271" s="21">
        <v>2</v>
      </c>
      <c r="C271" s="21">
        <v>3</v>
      </c>
      <c r="D271" s="21">
        <v>4</v>
      </c>
      <c r="E271" s="21">
        <v>5</v>
      </c>
      <c r="F271" s="400">
        <v>6</v>
      </c>
      <c r="G271" s="400">
        <v>7</v>
      </c>
      <c r="H271" s="467">
        <v>8</v>
      </c>
      <c r="I271" s="482">
        <v>9</v>
      </c>
      <c r="J271" s="383"/>
      <c r="K271" s="389"/>
      <c r="Z271" s="358"/>
      <c r="AA271" s="510">
        <f t="shared" si="32"/>
        <v>206</v>
      </c>
      <c r="AB271">
        <f t="shared" si="30"/>
        <v>1622.68</v>
      </c>
      <c r="AC271">
        <f t="shared" si="31"/>
        <v>0</v>
      </c>
    </row>
    <row r="272" spans="1:29" ht="15.75">
      <c r="A272" s="138">
        <v>1</v>
      </c>
      <c r="B272" s="139" t="s">
        <v>31</v>
      </c>
      <c r="C272" s="139" t="s">
        <v>86</v>
      </c>
      <c r="D272" s="140">
        <v>55.75</v>
      </c>
      <c r="E272" s="355">
        <v>37.046999999999997</v>
      </c>
      <c r="F272" s="417">
        <v>53.24</v>
      </c>
      <c r="G272" s="401">
        <v>21.414000000000001</v>
      </c>
      <c r="H272" s="544">
        <v>50.88</v>
      </c>
      <c r="I272" s="569">
        <v>9.4529999999999994</v>
      </c>
      <c r="J272" s="560" t="s">
        <v>232</v>
      </c>
      <c r="K272" s="569">
        <v>5.4550000000000001</v>
      </c>
      <c r="Z272" s="358"/>
      <c r="AA272" s="510">
        <f t="shared" si="32"/>
        <v>207</v>
      </c>
      <c r="AB272">
        <f t="shared" si="30"/>
        <v>1631.05</v>
      </c>
      <c r="AC272">
        <f t="shared" si="31"/>
        <v>0</v>
      </c>
    </row>
    <row r="273" spans="1:29" ht="15.75">
      <c r="A273" s="141">
        <f>+A272+1</f>
        <v>2</v>
      </c>
      <c r="B273" s="142" t="s">
        <v>32</v>
      </c>
      <c r="C273" s="142" t="s">
        <v>86</v>
      </c>
      <c r="D273" s="143">
        <v>339.5</v>
      </c>
      <c r="E273" s="356">
        <v>7.77</v>
      </c>
      <c r="F273" s="418">
        <v>338.77</v>
      </c>
      <c r="G273" s="403">
        <v>7.157</v>
      </c>
      <c r="H273" s="545">
        <v>339.46</v>
      </c>
      <c r="I273" s="570">
        <v>7.7350000000000003</v>
      </c>
      <c r="J273" s="321"/>
      <c r="K273" s="570">
        <v>6.62</v>
      </c>
      <c r="Z273" s="358"/>
      <c r="AA273" s="510">
        <f t="shared" si="32"/>
        <v>208</v>
      </c>
      <c r="AB273">
        <f t="shared" si="30"/>
        <v>1626.32</v>
      </c>
      <c r="AC273">
        <f t="shared" si="31"/>
        <v>0</v>
      </c>
    </row>
    <row r="274" spans="1:29" ht="15.75">
      <c r="A274" s="141">
        <f t="shared" ref="A274:A308" si="33">+A273+1</f>
        <v>3</v>
      </c>
      <c r="B274" s="142" t="s">
        <v>33</v>
      </c>
      <c r="C274" s="142" t="s">
        <v>87</v>
      </c>
      <c r="D274" s="143">
        <v>77.5</v>
      </c>
      <c r="E274" s="356">
        <v>49.02</v>
      </c>
      <c r="F274" s="402">
        <v>73.650000000000006</v>
      </c>
      <c r="G274" s="403">
        <v>27.367000000000001</v>
      </c>
      <c r="H274" s="545">
        <v>73.13</v>
      </c>
      <c r="I274" s="570">
        <v>24.913</v>
      </c>
      <c r="J274" s="321"/>
      <c r="K274" s="570">
        <v>18.533000000000001</v>
      </c>
      <c r="Z274" s="358"/>
      <c r="AA274" s="510">
        <f t="shared" si="32"/>
        <v>209</v>
      </c>
      <c r="AB274">
        <f t="shared" si="30"/>
        <v>1610.04</v>
      </c>
      <c r="AC274">
        <f t="shared" si="31"/>
        <v>0</v>
      </c>
    </row>
    <row r="275" spans="1:29" ht="15.75">
      <c r="A275" s="141">
        <f t="shared" si="33"/>
        <v>4</v>
      </c>
      <c r="B275" s="142" t="s">
        <v>34</v>
      </c>
      <c r="C275" s="142" t="s">
        <v>88</v>
      </c>
      <c r="D275" s="143">
        <v>463.3</v>
      </c>
      <c r="E275" s="356">
        <v>49.9</v>
      </c>
      <c r="F275" s="404">
        <v>461.79</v>
      </c>
      <c r="G275" s="419">
        <v>21.04</v>
      </c>
      <c r="H275" s="546">
        <v>461.78</v>
      </c>
      <c r="I275" s="577">
        <v>20.88</v>
      </c>
      <c r="J275" s="318"/>
      <c r="K275" s="577">
        <v>16.600000000000001</v>
      </c>
      <c r="Z275" s="358"/>
      <c r="AA275" s="510">
        <f t="shared" si="32"/>
        <v>210</v>
      </c>
      <c r="AB275">
        <f t="shared" si="30"/>
        <v>1593</v>
      </c>
      <c r="AC275">
        <f t="shared" si="31"/>
        <v>0</v>
      </c>
    </row>
    <row r="276" spans="1:29" ht="15.75">
      <c r="A276" s="141">
        <f t="shared" si="33"/>
        <v>5</v>
      </c>
      <c r="B276" s="142" t="s">
        <v>35</v>
      </c>
      <c r="C276" s="142" t="s">
        <v>89</v>
      </c>
      <c r="D276" s="143">
        <v>207</v>
      </c>
      <c r="E276" s="356">
        <v>9.5030000000000001</v>
      </c>
      <c r="F276" s="404">
        <v>196.62</v>
      </c>
      <c r="G276" s="420">
        <v>3.0750000000000002</v>
      </c>
      <c r="H276" s="547">
        <v>199.32</v>
      </c>
      <c r="I276" s="589">
        <v>2.9209999999999998</v>
      </c>
      <c r="J276" s="321"/>
      <c r="K276" s="469">
        <v>0.64</v>
      </c>
      <c r="Z276" s="358"/>
      <c r="AA276" s="510">
        <f t="shared" si="32"/>
        <v>211</v>
      </c>
      <c r="AB276">
        <f t="shared" si="30"/>
        <v>1585</v>
      </c>
      <c r="AC276">
        <f t="shared" si="31"/>
        <v>0</v>
      </c>
    </row>
    <row r="277" spans="1:29" ht="15.75">
      <c r="A277" s="141">
        <f t="shared" si="33"/>
        <v>6</v>
      </c>
      <c r="B277" s="142" t="s">
        <v>36</v>
      </c>
      <c r="C277" s="142" t="s">
        <v>89</v>
      </c>
      <c r="D277" s="143">
        <v>320</v>
      </c>
      <c r="E277" s="144">
        <v>5.1509999999999998</v>
      </c>
      <c r="F277" s="404">
        <v>311.66000000000003</v>
      </c>
      <c r="G277" s="420">
        <v>1.7130000000000001</v>
      </c>
      <c r="H277" s="592">
        <v>311.87</v>
      </c>
      <c r="I277" s="589">
        <v>1.7829999999999999</v>
      </c>
      <c r="J277" s="321"/>
      <c r="K277" s="469">
        <v>0.81499999999999995</v>
      </c>
      <c r="Z277" s="358"/>
      <c r="AA277" s="510">
        <f t="shared" si="32"/>
        <v>212</v>
      </c>
      <c r="AB277">
        <f t="shared" si="30"/>
        <v>1570</v>
      </c>
      <c r="AC277">
        <f t="shared" si="31"/>
        <v>0</v>
      </c>
    </row>
    <row r="278" spans="1:29" ht="15.75">
      <c r="A278" s="141">
        <f t="shared" si="33"/>
        <v>7</v>
      </c>
      <c r="B278" s="142" t="s">
        <v>37</v>
      </c>
      <c r="C278" s="142" t="s">
        <v>90</v>
      </c>
      <c r="D278" s="143">
        <v>90</v>
      </c>
      <c r="E278" s="356">
        <v>723.16</v>
      </c>
      <c r="F278" s="404">
        <v>84.06</v>
      </c>
      <c r="G278" s="421">
        <v>485.46</v>
      </c>
      <c r="H278" s="545">
        <v>81.05</v>
      </c>
      <c r="I278" s="590">
        <v>379.423</v>
      </c>
      <c r="J278" s="318"/>
      <c r="K278" s="380">
        <v>378.25</v>
      </c>
      <c r="Z278" s="358"/>
      <c r="AA278" s="510">
        <f t="shared" si="32"/>
        <v>213</v>
      </c>
      <c r="AB278">
        <f t="shared" ref="AB278:AB308" si="34">IF(T7="tad","tad",T7)</f>
        <v>1560</v>
      </c>
      <c r="AC278">
        <f t="shared" si="31"/>
        <v>0</v>
      </c>
    </row>
    <row r="279" spans="1:29" ht="15.75">
      <c r="A279" s="141">
        <f t="shared" si="33"/>
        <v>8</v>
      </c>
      <c r="B279" s="142" t="s">
        <v>38</v>
      </c>
      <c r="C279" s="142" t="s">
        <v>91</v>
      </c>
      <c r="D279" s="143">
        <v>120.5</v>
      </c>
      <c r="E279" s="144">
        <v>2.0920000000000001</v>
      </c>
      <c r="F279" s="404">
        <v>114.9</v>
      </c>
      <c r="G279" s="419">
        <v>0.28799999999999998</v>
      </c>
      <c r="H279" s="591">
        <v>115.54</v>
      </c>
      <c r="I279" s="589">
        <v>0.46200000000000002</v>
      </c>
      <c r="J279" s="321" t="s">
        <v>215</v>
      </c>
      <c r="K279" s="469">
        <v>0.28899999999999998</v>
      </c>
      <c r="Z279" s="358"/>
      <c r="AA279" s="510">
        <f t="shared" si="32"/>
        <v>214</v>
      </c>
      <c r="AB279">
        <f t="shared" si="34"/>
        <v>1555</v>
      </c>
      <c r="AC279">
        <f t="shared" si="31"/>
        <v>0</v>
      </c>
    </row>
    <row r="280" spans="1:29" ht="15.75">
      <c r="A280" s="141">
        <f t="shared" si="33"/>
        <v>9</v>
      </c>
      <c r="B280" s="142" t="s">
        <v>39</v>
      </c>
      <c r="C280" s="142" t="s">
        <v>91</v>
      </c>
      <c r="D280" s="143">
        <v>120.8</v>
      </c>
      <c r="E280" s="144">
        <v>2.3530000000000002</v>
      </c>
      <c r="F280" s="404">
        <v>113.61</v>
      </c>
      <c r="G280" s="419">
        <v>0.35699999999999998</v>
      </c>
      <c r="H280" s="591">
        <v>119.33</v>
      </c>
      <c r="I280" s="589">
        <v>1.613</v>
      </c>
      <c r="J280" s="321" t="s">
        <v>215</v>
      </c>
      <c r="K280" s="469">
        <v>1.24</v>
      </c>
      <c r="Z280" s="358"/>
      <c r="AA280" s="510">
        <f t="shared" si="32"/>
        <v>215</v>
      </c>
      <c r="AB280">
        <f t="shared" si="34"/>
        <v>1550</v>
      </c>
      <c r="AC280">
        <f t="shared" si="31"/>
        <v>0</v>
      </c>
    </row>
    <row r="281" spans="1:29" ht="15.75">
      <c r="A281" s="141">
        <f t="shared" si="33"/>
        <v>10</v>
      </c>
      <c r="B281" s="142" t="s">
        <v>40</v>
      </c>
      <c r="C281" s="142" t="s">
        <v>92</v>
      </c>
      <c r="D281" s="146">
        <v>46.5</v>
      </c>
      <c r="E281" s="149">
        <v>4.5999999999999996</v>
      </c>
      <c r="F281" s="405">
        <v>43.1</v>
      </c>
      <c r="G281" s="408">
        <v>2.1640000000000001</v>
      </c>
      <c r="H281" s="592">
        <v>43.78</v>
      </c>
      <c r="I281" s="571">
        <v>2.5009999999999999</v>
      </c>
      <c r="J281" s="321" t="s">
        <v>216</v>
      </c>
      <c r="K281" s="549">
        <v>2.129</v>
      </c>
      <c r="Z281" s="358"/>
      <c r="AA281" s="510">
        <f t="shared" si="32"/>
        <v>216</v>
      </c>
      <c r="AB281">
        <f t="shared" si="34"/>
        <v>1545</v>
      </c>
      <c r="AC281">
        <f t="shared" si="31"/>
        <v>0</v>
      </c>
    </row>
    <row r="282" spans="1:29" ht="15.75">
      <c r="A282" s="141">
        <f t="shared" si="33"/>
        <v>11</v>
      </c>
      <c r="B282" s="142" t="s">
        <v>42</v>
      </c>
      <c r="C282" s="142" t="s">
        <v>92</v>
      </c>
      <c r="D282" s="143">
        <v>51.5</v>
      </c>
      <c r="E282" s="144">
        <v>2.4159999999999999</v>
      </c>
      <c r="F282" s="404">
        <v>46.86</v>
      </c>
      <c r="G282" s="421">
        <v>0.90600000000000003</v>
      </c>
      <c r="H282" s="592">
        <v>49.64</v>
      </c>
      <c r="I282" s="593">
        <v>1.96</v>
      </c>
      <c r="J282" s="321" t="s">
        <v>217</v>
      </c>
      <c r="K282" s="373">
        <v>1.58</v>
      </c>
      <c r="Z282" s="358"/>
      <c r="AA282" s="510">
        <f t="shared" si="32"/>
        <v>217</v>
      </c>
      <c r="AB282">
        <f t="shared" si="34"/>
        <v>1535</v>
      </c>
      <c r="AC282">
        <f t="shared" si="31"/>
        <v>0</v>
      </c>
    </row>
    <row r="283" spans="1:29" ht="15.75">
      <c r="A283" s="141">
        <f t="shared" si="33"/>
        <v>12</v>
      </c>
      <c r="B283" s="142" t="s">
        <v>43</v>
      </c>
      <c r="C283" s="142" t="s">
        <v>90</v>
      </c>
      <c r="D283" s="143">
        <f>71 +10</f>
        <v>81</v>
      </c>
      <c r="E283" s="144">
        <v>1.093</v>
      </c>
      <c r="F283" s="143">
        <f>71 +2.94</f>
        <v>73.94</v>
      </c>
      <c r="G283" s="419">
        <v>0.18</v>
      </c>
      <c r="H283" s="594">
        <f>71 +4.98</f>
        <v>75.98</v>
      </c>
      <c r="I283" s="593">
        <v>0.37</v>
      </c>
      <c r="J283" s="321" t="s">
        <v>215</v>
      </c>
      <c r="K283" s="373">
        <v>0.308</v>
      </c>
      <c r="Z283" s="358"/>
      <c r="AA283" s="510">
        <f t="shared" si="32"/>
        <v>218</v>
      </c>
      <c r="AB283">
        <f t="shared" si="34"/>
        <v>1520</v>
      </c>
      <c r="AC283">
        <f t="shared" si="31"/>
        <v>0</v>
      </c>
    </row>
    <row r="284" spans="1:29" ht="15.75">
      <c r="A284" s="141">
        <f t="shared" si="33"/>
        <v>13</v>
      </c>
      <c r="B284" s="142" t="s">
        <v>44</v>
      </c>
      <c r="C284" s="142" t="s">
        <v>90</v>
      </c>
      <c r="D284" s="143">
        <f>75.8+7</f>
        <v>82.8</v>
      </c>
      <c r="E284" s="144">
        <v>0.42899999999999999</v>
      </c>
      <c r="F284" s="143">
        <f>75.8+4.22</f>
        <v>80.02</v>
      </c>
      <c r="G284" s="419">
        <v>8.4000000000000005E-2</v>
      </c>
      <c r="H284" s="594">
        <f>75.8+6.72</f>
        <v>82.52</v>
      </c>
      <c r="I284" s="593">
        <v>0.38500000000000001</v>
      </c>
      <c r="J284" s="321" t="s">
        <v>225</v>
      </c>
      <c r="K284" s="373">
        <v>0.13200000000000001</v>
      </c>
      <c r="Z284" s="358"/>
      <c r="AA284" s="510">
        <f t="shared" si="32"/>
        <v>219</v>
      </c>
      <c r="AB284">
        <f t="shared" si="34"/>
        <v>1510</v>
      </c>
      <c r="AC284">
        <f t="shared" si="31"/>
        <v>0</v>
      </c>
    </row>
    <row r="285" spans="1:29" ht="15.75">
      <c r="A285" s="141">
        <f t="shared" si="33"/>
        <v>14</v>
      </c>
      <c r="B285" s="142" t="s">
        <v>45</v>
      </c>
      <c r="C285" s="142" t="s">
        <v>90</v>
      </c>
      <c r="D285" s="143">
        <f>65.65 +4.3</f>
        <v>69.95</v>
      </c>
      <c r="E285" s="144">
        <v>0.25</v>
      </c>
      <c r="F285" s="143">
        <f>65.65 +2</f>
        <v>67.650000000000006</v>
      </c>
      <c r="G285" s="421">
        <v>4.9000000000000002E-2</v>
      </c>
      <c r="H285" s="594">
        <f>65.65 +4.39</f>
        <v>70.040000000000006</v>
      </c>
      <c r="I285" s="593">
        <v>0.26500000000000001</v>
      </c>
      <c r="J285" s="321" t="s">
        <v>225</v>
      </c>
      <c r="K285" s="373">
        <v>9.2999999999999999E-2</v>
      </c>
      <c r="Z285" s="358"/>
      <c r="AA285" s="510">
        <f t="shared" si="32"/>
        <v>220</v>
      </c>
      <c r="AB285">
        <f t="shared" si="34"/>
        <v>1499</v>
      </c>
      <c r="AC285">
        <f t="shared" si="31"/>
        <v>0</v>
      </c>
    </row>
    <row r="286" spans="1:29" ht="15.75">
      <c r="A286" s="141">
        <f t="shared" si="33"/>
        <v>15</v>
      </c>
      <c r="B286" s="142" t="s">
        <v>46</v>
      </c>
      <c r="C286" s="142" t="s">
        <v>90</v>
      </c>
      <c r="D286" s="146">
        <v>5.21</v>
      </c>
      <c r="E286" s="144">
        <v>0.38500000000000001</v>
      </c>
      <c r="F286" s="404">
        <v>1.1599999999999999</v>
      </c>
      <c r="G286" s="419">
        <v>0.09</v>
      </c>
      <c r="H286" s="595">
        <v>3.46</v>
      </c>
      <c r="I286" s="589">
        <v>0.14599999999999999</v>
      </c>
      <c r="J286" s="321" t="s">
        <v>215</v>
      </c>
      <c r="K286" s="469">
        <v>0.13400000000000001</v>
      </c>
      <c r="Z286" s="358"/>
      <c r="AA286" s="510">
        <f t="shared" si="32"/>
        <v>221</v>
      </c>
      <c r="AB286">
        <f t="shared" si="34"/>
        <v>1490</v>
      </c>
      <c r="AC286">
        <f t="shared" si="31"/>
        <v>0</v>
      </c>
    </row>
    <row r="287" spans="1:29" ht="15.75">
      <c r="A287" s="141">
        <f t="shared" si="33"/>
        <v>16</v>
      </c>
      <c r="B287" s="142" t="s">
        <v>94</v>
      </c>
      <c r="C287" s="142" t="s">
        <v>47</v>
      </c>
      <c r="D287" s="143">
        <v>138.19999999999999</v>
      </c>
      <c r="E287" s="356">
        <v>440</v>
      </c>
      <c r="F287" s="404">
        <v>127.58</v>
      </c>
      <c r="G287" s="409">
        <v>66.882000000000005</v>
      </c>
      <c r="H287" s="547">
        <v>132.78</v>
      </c>
      <c r="I287" s="571">
        <v>215.49</v>
      </c>
      <c r="J287" s="321"/>
      <c r="K287" s="571">
        <v>81.766999999999996</v>
      </c>
      <c r="Z287" s="358"/>
      <c r="AA287" s="510">
        <f t="shared" si="32"/>
        <v>222</v>
      </c>
      <c r="AB287">
        <f t="shared" si="34"/>
        <v>1478</v>
      </c>
      <c r="AC287">
        <f t="shared" si="31"/>
        <v>0</v>
      </c>
    </row>
    <row r="288" spans="1:29" ht="15.75">
      <c r="A288" s="141">
        <f t="shared" si="33"/>
        <v>17</v>
      </c>
      <c r="B288" s="142" t="s">
        <v>48</v>
      </c>
      <c r="C288" s="142" t="s">
        <v>47</v>
      </c>
      <c r="D288" s="143">
        <v>113.5</v>
      </c>
      <c r="E288" s="144">
        <v>3.7519999999999998</v>
      </c>
      <c r="F288" s="404">
        <v>107.29</v>
      </c>
      <c r="G288" s="421">
        <v>1.2430000000000001</v>
      </c>
      <c r="H288" s="548">
        <v>110.9</v>
      </c>
      <c r="I288" s="571">
        <v>2.4750000000000001</v>
      </c>
      <c r="J288" s="321"/>
      <c r="K288" s="571">
        <v>1.109</v>
      </c>
      <c r="Z288" s="358"/>
      <c r="AA288" s="510">
        <f t="shared" si="32"/>
        <v>223</v>
      </c>
      <c r="AB288">
        <f t="shared" si="34"/>
        <v>1474</v>
      </c>
      <c r="AC288">
        <f t="shared" si="31"/>
        <v>0</v>
      </c>
    </row>
    <row r="289" spans="1:29" ht="15.75">
      <c r="A289" s="141">
        <f t="shared" si="33"/>
        <v>18</v>
      </c>
      <c r="B289" s="142" t="s">
        <v>49</v>
      </c>
      <c r="C289" s="142" t="s">
        <v>47</v>
      </c>
      <c r="D289" s="143">
        <v>225.4</v>
      </c>
      <c r="E289" s="148">
        <v>1.2</v>
      </c>
      <c r="F289" s="404">
        <v>222.8</v>
      </c>
      <c r="G289" s="421">
        <v>3.9E-2</v>
      </c>
      <c r="H289" s="550">
        <v>225.3</v>
      </c>
      <c r="I289" s="572">
        <v>0.56200000000000006</v>
      </c>
      <c r="J289" s="321"/>
      <c r="K289" s="572">
        <v>4.5999999999999999E-2</v>
      </c>
      <c r="Z289" s="358"/>
      <c r="AA289" s="510">
        <f t="shared" si="32"/>
        <v>224</v>
      </c>
      <c r="AB289">
        <f t="shared" si="34"/>
        <v>1463</v>
      </c>
      <c r="AC289">
        <f t="shared" si="31"/>
        <v>0</v>
      </c>
    </row>
    <row r="290" spans="1:29" ht="15.75">
      <c r="A290" s="141">
        <v>19</v>
      </c>
      <c r="B290" s="142" t="s">
        <v>50</v>
      </c>
      <c r="C290" s="142" t="s">
        <v>47</v>
      </c>
      <c r="D290" s="143">
        <v>224</v>
      </c>
      <c r="E290" s="144">
        <v>0.65100000000000002</v>
      </c>
      <c r="F290" s="404">
        <v>215.95</v>
      </c>
      <c r="G290" s="421">
        <v>7.4999999999999997E-2</v>
      </c>
      <c r="H290" s="548">
        <v>220.5</v>
      </c>
      <c r="I290" s="573">
        <v>0.317</v>
      </c>
      <c r="J290" s="321"/>
      <c r="K290" s="573">
        <v>6.4000000000000001E-2</v>
      </c>
      <c r="Z290" s="358"/>
      <c r="AA290" s="510">
        <f t="shared" si="32"/>
        <v>225</v>
      </c>
      <c r="AB290">
        <f t="shared" si="34"/>
        <v>1455.75</v>
      </c>
      <c r="AC290">
        <f t="shared" si="31"/>
        <v>0</v>
      </c>
    </row>
    <row r="291" spans="1:29" ht="15.75">
      <c r="A291" s="141">
        <f t="shared" si="33"/>
        <v>20</v>
      </c>
      <c r="B291" s="142" t="s">
        <v>51</v>
      </c>
      <c r="C291" s="142" t="s">
        <v>47</v>
      </c>
      <c r="D291" s="143">
        <v>196</v>
      </c>
      <c r="E291" s="144">
        <v>1.5820000000000001</v>
      </c>
      <c r="F291" s="404">
        <v>192.95</v>
      </c>
      <c r="G291" s="421">
        <v>1.1000000000000001</v>
      </c>
      <c r="H291" s="548">
        <v>196.11</v>
      </c>
      <c r="I291" s="571">
        <v>1.6</v>
      </c>
      <c r="J291" s="321"/>
      <c r="K291" s="571">
        <v>0.64600000000000002</v>
      </c>
      <c r="Z291" s="358"/>
      <c r="AA291" s="510">
        <f t="shared" si="32"/>
        <v>226</v>
      </c>
      <c r="AB291">
        <f t="shared" si="34"/>
        <v>1450.76</v>
      </c>
      <c r="AC291">
        <f t="shared" si="31"/>
        <v>0</v>
      </c>
    </row>
    <row r="292" spans="1:29" ht="16.5" thickBot="1">
      <c r="A292" s="150">
        <f t="shared" si="33"/>
        <v>21</v>
      </c>
      <c r="B292" s="151" t="s">
        <v>52</v>
      </c>
      <c r="C292" s="151" t="s">
        <v>47</v>
      </c>
      <c r="D292" s="152">
        <v>174</v>
      </c>
      <c r="E292" s="153">
        <v>0.47899999999999998</v>
      </c>
      <c r="F292" s="422">
        <v>172.62</v>
      </c>
      <c r="G292" s="423">
        <v>9.8000000000000004E-2</v>
      </c>
      <c r="H292" s="551">
        <v>174</v>
      </c>
      <c r="I292" s="574">
        <v>0.249</v>
      </c>
      <c r="J292" s="370"/>
      <c r="K292" s="574">
        <v>1.4E-2</v>
      </c>
      <c r="Z292" s="358"/>
      <c r="AA292" s="510">
        <f t="shared" si="32"/>
        <v>227</v>
      </c>
      <c r="AB292">
        <f t="shared" si="34"/>
        <v>1446.33</v>
      </c>
      <c r="AC292">
        <f t="shared" si="31"/>
        <v>0</v>
      </c>
    </row>
    <row r="293" spans="1:29" ht="15.75">
      <c r="A293" s="138">
        <f t="shared" si="33"/>
        <v>22</v>
      </c>
      <c r="B293" s="139" t="s">
        <v>53</v>
      </c>
      <c r="C293" s="139" t="s">
        <v>47</v>
      </c>
      <c r="D293" s="140">
        <v>229.1</v>
      </c>
      <c r="E293" s="368">
        <v>0.79200000000000004</v>
      </c>
      <c r="F293" s="424">
        <v>219.01</v>
      </c>
      <c r="G293" s="425">
        <v>8.8999999999999996E-2</v>
      </c>
      <c r="H293" s="552">
        <v>220.8</v>
      </c>
      <c r="I293" s="575">
        <v>0.16200000000000001</v>
      </c>
      <c r="J293" s="369"/>
      <c r="K293" s="575">
        <v>0</v>
      </c>
      <c r="Z293" s="358"/>
      <c r="AA293" s="510">
        <f t="shared" si="32"/>
        <v>228</v>
      </c>
      <c r="AB293">
        <f t="shared" si="34"/>
        <v>1441.69</v>
      </c>
      <c r="AC293">
        <f t="shared" si="31"/>
        <v>0</v>
      </c>
    </row>
    <row r="294" spans="1:29" ht="15.75">
      <c r="A294" s="141">
        <f t="shared" si="33"/>
        <v>23</v>
      </c>
      <c r="B294" s="142" t="s">
        <v>54</v>
      </c>
      <c r="C294" s="142" t="s">
        <v>47</v>
      </c>
      <c r="D294" s="143">
        <v>249</v>
      </c>
      <c r="E294" s="144">
        <v>2.1240000000000001</v>
      </c>
      <c r="F294" s="404">
        <v>241.47</v>
      </c>
      <c r="G294" s="421">
        <v>0.72399999999999998</v>
      </c>
      <c r="H294" s="548">
        <v>245.5</v>
      </c>
      <c r="I294" s="573">
        <v>1.08</v>
      </c>
      <c r="J294" s="321"/>
      <c r="K294" s="573">
        <v>0</v>
      </c>
      <c r="Z294" s="358"/>
      <c r="AA294" s="510">
        <f t="shared" si="32"/>
        <v>229</v>
      </c>
      <c r="AB294">
        <f t="shared" si="34"/>
        <v>1438.12</v>
      </c>
      <c r="AC294">
        <f t="shared" si="31"/>
        <v>0</v>
      </c>
    </row>
    <row r="295" spans="1:29" ht="15.75">
      <c r="A295" s="141">
        <f t="shared" si="33"/>
        <v>24</v>
      </c>
      <c r="B295" s="142" t="s">
        <v>55</v>
      </c>
      <c r="C295" s="142" t="s">
        <v>95</v>
      </c>
      <c r="D295" s="143">
        <v>164.75</v>
      </c>
      <c r="E295" s="148">
        <v>5</v>
      </c>
      <c r="F295" s="404">
        <v>156.11000000000001</v>
      </c>
      <c r="G295" s="421">
        <v>0.98599999999999999</v>
      </c>
      <c r="H295" s="547">
        <v>156.19999999999999</v>
      </c>
      <c r="I295" s="573">
        <v>1.012</v>
      </c>
      <c r="J295" s="321">
        <v>0.47499999999999998</v>
      </c>
      <c r="K295" s="573">
        <v>0.16700000000000001</v>
      </c>
      <c r="Z295" s="358"/>
      <c r="AA295" s="510">
        <f t="shared" si="32"/>
        <v>230</v>
      </c>
      <c r="AB295">
        <f t="shared" si="34"/>
        <v>1434.58</v>
      </c>
      <c r="AC295">
        <f t="shared" si="31"/>
        <v>0</v>
      </c>
    </row>
    <row r="296" spans="1:29" ht="15.75">
      <c r="A296" s="141">
        <f t="shared" si="33"/>
        <v>25</v>
      </c>
      <c r="B296" s="142" t="s">
        <v>56</v>
      </c>
      <c r="C296" s="142" t="s">
        <v>95</v>
      </c>
      <c r="D296" s="143">
        <v>179.1</v>
      </c>
      <c r="E296" s="144">
        <v>4.2</v>
      </c>
      <c r="F296" s="426">
        <v>168.86</v>
      </c>
      <c r="G296" s="420">
        <v>0.47599999999999998</v>
      </c>
      <c r="H296" s="547">
        <v>174.45</v>
      </c>
      <c r="I296" s="571">
        <v>1.8660000000000001</v>
      </c>
      <c r="J296" s="321">
        <v>0.63700000000000001</v>
      </c>
      <c r="K296" s="571">
        <v>0.63200000000000001</v>
      </c>
      <c r="Z296" s="358"/>
      <c r="AA296" s="510">
        <f t="shared" si="32"/>
        <v>231</v>
      </c>
      <c r="AB296">
        <f t="shared" si="34"/>
        <v>1430.06</v>
      </c>
      <c r="AC296">
        <f t="shared" si="31"/>
        <v>0</v>
      </c>
    </row>
    <row r="297" spans="1:29" ht="15.75">
      <c r="A297" s="141">
        <f t="shared" si="33"/>
        <v>26</v>
      </c>
      <c r="B297" s="142" t="s">
        <v>57</v>
      </c>
      <c r="C297" s="142" t="s">
        <v>96</v>
      </c>
      <c r="D297" s="143">
        <v>326.56</v>
      </c>
      <c r="E297" s="144">
        <v>0.70099999999999996</v>
      </c>
      <c r="F297" s="407">
        <v>318.94</v>
      </c>
      <c r="G297" s="406">
        <v>0.222</v>
      </c>
      <c r="H297" s="548">
        <v>325.56</v>
      </c>
      <c r="I297" s="573">
        <v>0.70099999999999996</v>
      </c>
      <c r="J297" s="321"/>
      <c r="K297" s="573">
        <v>0.28799999999999998</v>
      </c>
      <c r="Z297" s="358"/>
      <c r="AA297" s="510">
        <f t="shared" si="32"/>
        <v>232</v>
      </c>
      <c r="AB297">
        <f t="shared" si="34"/>
        <v>1423</v>
      </c>
      <c r="AC297">
        <f t="shared" si="31"/>
        <v>0</v>
      </c>
    </row>
    <row r="298" spans="1:29" ht="15.75">
      <c r="A298" s="141">
        <f t="shared" si="33"/>
        <v>27</v>
      </c>
      <c r="B298" s="142" t="s">
        <v>58</v>
      </c>
      <c r="C298" s="142" t="s">
        <v>96</v>
      </c>
      <c r="D298" s="143">
        <v>129.19999999999999</v>
      </c>
      <c r="E298" s="144">
        <v>0.5</v>
      </c>
      <c r="F298" s="404">
        <v>125.89</v>
      </c>
      <c r="G298" s="421">
        <v>0.16400000000000001</v>
      </c>
      <c r="H298" s="548">
        <v>127.52</v>
      </c>
      <c r="I298" s="571">
        <v>0.32800000000000001</v>
      </c>
      <c r="J298" s="321"/>
      <c r="K298" s="571">
        <v>0</v>
      </c>
      <c r="Z298" s="358"/>
      <c r="AA298" s="510">
        <f t="shared" si="32"/>
        <v>233</v>
      </c>
      <c r="AB298">
        <f t="shared" si="34"/>
        <v>1420</v>
      </c>
      <c r="AC298">
        <f t="shared" si="31"/>
        <v>0</v>
      </c>
    </row>
    <row r="299" spans="1:29" ht="15.75">
      <c r="A299" s="141">
        <f t="shared" si="33"/>
        <v>28</v>
      </c>
      <c r="B299" s="142" t="s">
        <v>59</v>
      </c>
      <c r="C299" s="142" t="s">
        <v>96</v>
      </c>
      <c r="D299" s="143">
        <v>282.76</v>
      </c>
      <c r="E299" s="144">
        <v>0.51300000000000001</v>
      </c>
      <c r="F299" s="404">
        <v>279.52999999999997</v>
      </c>
      <c r="G299" s="421">
        <v>0.16900000000000001</v>
      </c>
      <c r="H299" s="550">
        <v>282.77999999999997</v>
      </c>
      <c r="I299" s="571">
        <v>0.51300000000000001</v>
      </c>
      <c r="J299" s="321"/>
      <c r="K299" s="571">
        <v>0</v>
      </c>
      <c r="Z299" s="358"/>
      <c r="AA299" s="510">
        <f t="shared" si="32"/>
        <v>234</v>
      </c>
      <c r="AB299">
        <f t="shared" si="34"/>
        <v>1412</v>
      </c>
      <c r="AC299">
        <f t="shared" si="31"/>
        <v>0</v>
      </c>
    </row>
    <row r="300" spans="1:29" ht="15.75">
      <c r="A300" s="141">
        <f t="shared" si="33"/>
        <v>29</v>
      </c>
      <c r="B300" s="142" t="s">
        <v>60</v>
      </c>
      <c r="C300" s="142" t="s">
        <v>96</v>
      </c>
      <c r="D300" s="143">
        <v>99</v>
      </c>
      <c r="E300" s="144">
        <v>2.6110000000000002</v>
      </c>
      <c r="F300" s="404">
        <v>93.8</v>
      </c>
      <c r="G300" s="421">
        <v>0.58899999999999997</v>
      </c>
      <c r="H300" s="548">
        <v>97.89</v>
      </c>
      <c r="I300" s="573">
        <v>2.028</v>
      </c>
      <c r="J300" s="321"/>
      <c r="K300" s="573">
        <v>0.155</v>
      </c>
      <c r="Z300" s="358"/>
      <c r="AA300" s="510">
        <f t="shared" si="32"/>
        <v>235</v>
      </c>
      <c r="AB300">
        <f t="shared" si="34"/>
        <v>1406</v>
      </c>
      <c r="AC300">
        <f t="shared" si="31"/>
        <v>0</v>
      </c>
    </row>
    <row r="301" spans="1:29" ht="15.75">
      <c r="A301" s="141">
        <f t="shared" si="33"/>
        <v>30</v>
      </c>
      <c r="B301" s="142" t="s">
        <v>61</v>
      </c>
      <c r="C301" s="142" t="s">
        <v>96</v>
      </c>
      <c r="D301" s="143">
        <v>189.7</v>
      </c>
      <c r="E301" s="148">
        <v>0.08</v>
      </c>
      <c r="F301" s="404">
        <v>188.18</v>
      </c>
      <c r="G301" s="421">
        <v>0.03</v>
      </c>
      <c r="H301" s="548">
        <v>189.7</v>
      </c>
      <c r="I301" s="573">
        <v>0.08</v>
      </c>
      <c r="J301" s="321"/>
      <c r="K301" s="573">
        <v>0</v>
      </c>
      <c r="Z301" s="358"/>
      <c r="AA301" s="510">
        <f t="shared" si="32"/>
        <v>236</v>
      </c>
      <c r="AB301">
        <f t="shared" si="34"/>
        <v>1401</v>
      </c>
      <c r="AC301">
        <f t="shared" si="31"/>
        <v>0</v>
      </c>
    </row>
    <row r="302" spans="1:29" ht="15.75">
      <c r="A302" s="141">
        <f t="shared" si="33"/>
        <v>31</v>
      </c>
      <c r="B302" s="142" t="s">
        <v>62</v>
      </c>
      <c r="C302" s="142" t="s">
        <v>96</v>
      </c>
      <c r="D302" s="143">
        <v>171.16</v>
      </c>
      <c r="E302" s="144">
        <v>9.6000000000000002E-2</v>
      </c>
      <c r="F302" s="402">
        <v>169.19</v>
      </c>
      <c r="G302" s="403">
        <v>4.8000000000000001E-2</v>
      </c>
      <c r="H302" s="548">
        <v>171.46</v>
      </c>
      <c r="I302" s="573">
        <v>0.10299999999999999</v>
      </c>
      <c r="J302" s="321"/>
      <c r="K302" s="573">
        <v>0</v>
      </c>
      <c r="Z302" s="358"/>
      <c r="AA302" s="510">
        <f t="shared" si="32"/>
        <v>237</v>
      </c>
      <c r="AB302">
        <f t="shared" si="34"/>
        <v>1397</v>
      </c>
      <c r="AC302">
        <f t="shared" si="31"/>
        <v>0</v>
      </c>
    </row>
    <row r="303" spans="1:29" ht="15.75">
      <c r="A303" s="141">
        <f t="shared" si="33"/>
        <v>32</v>
      </c>
      <c r="B303" s="142" t="s">
        <v>63</v>
      </c>
      <c r="C303" s="142" t="s">
        <v>97</v>
      </c>
      <c r="D303" s="143">
        <v>142.6</v>
      </c>
      <c r="E303" s="356">
        <v>9.157</v>
      </c>
      <c r="F303" s="404">
        <v>137.94999999999999</v>
      </c>
      <c r="G303" s="409">
        <v>1.8169999999999999</v>
      </c>
      <c r="H303" s="545">
        <v>140</v>
      </c>
      <c r="I303" s="576">
        <v>2.714</v>
      </c>
      <c r="J303" s="321"/>
      <c r="K303" s="576">
        <v>0.73499999999999999</v>
      </c>
      <c r="Z303" s="358"/>
      <c r="AA303" s="510">
        <f t="shared" si="32"/>
        <v>238</v>
      </c>
      <c r="AB303">
        <f t="shared" si="34"/>
        <v>1389</v>
      </c>
      <c r="AC303">
        <f t="shared" si="31"/>
        <v>0</v>
      </c>
    </row>
    <row r="304" spans="1:29" ht="15.75">
      <c r="A304" s="141">
        <f t="shared" si="33"/>
        <v>33</v>
      </c>
      <c r="B304" s="142" t="s">
        <v>64</v>
      </c>
      <c r="C304" s="142" t="s">
        <v>97</v>
      </c>
      <c r="D304" s="143">
        <v>239.5</v>
      </c>
      <c r="E304" s="144">
        <v>2.6720000000000002</v>
      </c>
      <c r="F304" s="404">
        <v>235.17</v>
      </c>
      <c r="G304" s="419">
        <v>0.64900000000000002</v>
      </c>
      <c r="H304" s="545">
        <v>235.88</v>
      </c>
      <c r="I304" s="576">
        <v>0.90200000000000002</v>
      </c>
      <c r="J304" s="321"/>
      <c r="K304" s="576">
        <v>0.76400000000000001</v>
      </c>
      <c r="Z304" s="358"/>
      <c r="AA304" s="510">
        <f t="shared" si="32"/>
        <v>239</v>
      </c>
      <c r="AB304">
        <f t="shared" si="34"/>
        <v>1389.2750000000001</v>
      </c>
      <c r="AC304">
        <f t="shared" si="31"/>
        <v>0</v>
      </c>
    </row>
    <row r="305" spans="1:29" ht="15.75">
      <c r="A305" s="141">
        <f t="shared" si="33"/>
        <v>34</v>
      </c>
      <c r="B305" s="142" t="s">
        <v>65</v>
      </c>
      <c r="C305" s="142" t="s">
        <v>98</v>
      </c>
      <c r="D305" s="143">
        <v>120.5</v>
      </c>
      <c r="E305" s="144">
        <v>3.677</v>
      </c>
      <c r="F305" s="404">
        <v>118.93</v>
      </c>
      <c r="G305" s="421">
        <v>1.0449999999999999</v>
      </c>
      <c r="H305" s="547">
        <v>120.42</v>
      </c>
      <c r="I305" s="571">
        <v>3.5259999999999998</v>
      </c>
      <c r="J305" s="321"/>
      <c r="K305" s="571">
        <v>7.8E-2</v>
      </c>
      <c r="Z305" s="358"/>
      <c r="AA305" s="510">
        <f t="shared" si="32"/>
        <v>240</v>
      </c>
      <c r="AB305">
        <f t="shared" si="34"/>
        <v>1389.491</v>
      </c>
      <c r="AC305">
        <f t="shared" si="31"/>
        <v>0</v>
      </c>
    </row>
    <row r="306" spans="1:29" ht="15.75">
      <c r="A306" s="141">
        <f t="shared" si="33"/>
        <v>35</v>
      </c>
      <c r="B306" s="142" t="s">
        <v>66</v>
      </c>
      <c r="C306" s="142" t="s">
        <v>99</v>
      </c>
      <c r="D306" s="143">
        <v>110.56</v>
      </c>
      <c r="E306" s="144">
        <v>2.75</v>
      </c>
      <c r="F306" s="404">
        <v>108.08</v>
      </c>
      <c r="G306" s="421">
        <v>0.53500000000000003</v>
      </c>
      <c r="H306" s="547">
        <v>109.51</v>
      </c>
      <c r="I306" s="571">
        <v>1.32</v>
      </c>
      <c r="J306" s="321"/>
      <c r="K306" s="571">
        <v>1.0649999999999999</v>
      </c>
      <c r="Z306" s="358"/>
      <c r="AA306" s="510">
        <f t="shared" si="32"/>
        <v>241</v>
      </c>
      <c r="AB306">
        <f t="shared" si="34"/>
        <v>1378.5</v>
      </c>
      <c r="AC306">
        <f t="shared" si="31"/>
        <v>0</v>
      </c>
    </row>
    <row r="307" spans="1:29" ht="15.75">
      <c r="A307" s="141">
        <f t="shared" si="33"/>
        <v>36</v>
      </c>
      <c r="B307" s="142" t="s">
        <v>67</v>
      </c>
      <c r="C307" s="142" t="s">
        <v>100</v>
      </c>
      <c r="D307" s="143">
        <v>72</v>
      </c>
      <c r="E307" s="356">
        <v>38.036000000000001</v>
      </c>
      <c r="F307" s="402">
        <v>61.05</v>
      </c>
      <c r="G307" s="403">
        <v>16.39</v>
      </c>
      <c r="H307" s="561">
        <v>68.5</v>
      </c>
      <c r="I307" s="570">
        <v>29.87</v>
      </c>
      <c r="J307" s="321"/>
      <c r="K307" s="570">
        <v>30.356999999999999</v>
      </c>
      <c r="Z307" s="358"/>
      <c r="AA307" s="510">
        <f t="shared" si="32"/>
        <v>242</v>
      </c>
      <c r="AB307">
        <f t="shared" si="34"/>
        <v>1370.712</v>
      </c>
      <c r="AC307">
        <f t="shared" si="31"/>
        <v>0</v>
      </c>
    </row>
    <row r="308" spans="1:29" ht="15.75">
      <c r="A308" s="141">
        <f t="shared" si="33"/>
        <v>37</v>
      </c>
      <c r="B308" s="142" t="s">
        <v>68</v>
      </c>
      <c r="C308" s="142" t="s">
        <v>100</v>
      </c>
      <c r="D308" s="143">
        <v>185</v>
      </c>
      <c r="E308" s="356">
        <v>412.66</v>
      </c>
      <c r="F308" s="402">
        <v>174</v>
      </c>
      <c r="G308" s="403">
        <v>280.714</v>
      </c>
      <c r="H308" s="545">
        <v>172.76</v>
      </c>
      <c r="I308" s="570">
        <v>269.12799999999999</v>
      </c>
      <c r="J308" s="321"/>
      <c r="K308" s="570">
        <v>265.017</v>
      </c>
      <c r="Z308" s="358"/>
      <c r="AA308" s="510">
        <f t="shared" si="32"/>
        <v>243</v>
      </c>
      <c r="AB308">
        <f t="shared" si="34"/>
        <v>1361</v>
      </c>
      <c r="AC308">
        <f t="shared" si="31"/>
        <v>0</v>
      </c>
    </row>
    <row r="309" spans="1:29" ht="16.5" thickBot="1">
      <c r="A309" s="150">
        <v>38</v>
      </c>
      <c r="B309" s="151" t="s">
        <v>69</v>
      </c>
      <c r="C309" s="151" t="s">
        <v>101</v>
      </c>
      <c r="D309" s="152">
        <v>231</v>
      </c>
      <c r="E309" s="357">
        <v>31.8</v>
      </c>
      <c r="F309" s="410">
        <v>230.65</v>
      </c>
      <c r="G309" s="411">
        <v>22.28</v>
      </c>
      <c r="H309" s="562">
        <v>230.1</v>
      </c>
      <c r="I309" s="596">
        <v>18.350000000000001</v>
      </c>
      <c r="J309" s="321"/>
      <c r="K309" s="381">
        <v>17.63</v>
      </c>
      <c r="Z309" s="358"/>
      <c r="AA309" s="510">
        <f t="shared" si="32"/>
        <v>244</v>
      </c>
      <c r="AB309">
        <f t="shared" ref="AB309:AB338" si="35">IF(U7="tad","tad",U7)</f>
        <v>1370</v>
      </c>
      <c r="AC309">
        <f t="shared" si="31"/>
        <v>0</v>
      </c>
    </row>
    <row r="310" spans="1:29" ht="16.5" thickBot="1">
      <c r="A310" s="154"/>
      <c r="B310" s="155" t="s">
        <v>70</v>
      </c>
      <c r="C310" s="155"/>
      <c r="D310" s="156"/>
      <c r="E310" s="157">
        <f>SUM(E272:E309)</f>
        <v>1860.202</v>
      </c>
      <c r="F310" s="412"/>
      <c r="G310" s="374">
        <f>SUM(G272:G309)</f>
        <v>967.70799999999986</v>
      </c>
      <c r="H310" s="553"/>
      <c r="I310" s="470">
        <f>SUM(I272:I309)</f>
        <v>1009.1860000000003</v>
      </c>
      <c r="J310" s="158">
        <f>+I310-G310</f>
        <v>41.478000000000407</v>
      </c>
      <c r="K310" s="470">
        <f>SUM(K272:K309)</f>
        <v>833.35199999999998</v>
      </c>
      <c r="Z310" s="358"/>
      <c r="AA310" s="510">
        <f t="shared" si="32"/>
        <v>245</v>
      </c>
      <c r="AB310">
        <f t="shared" si="35"/>
        <v>1350.79</v>
      </c>
      <c r="AC310">
        <f t="shared" si="31"/>
        <v>0</v>
      </c>
    </row>
    <row r="311" spans="1:29" ht="16.5" thickBot="1">
      <c r="A311" s="159" t="s">
        <v>71</v>
      </c>
      <c r="B311" s="155" t="s">
        <v>72</v>
      </c>
      <c r="C311" s="155"/>
      <c r="D311" s="156"/>
      <c r="E311" s="157"/>
      <c r="F311" s="427"/>
      <c r="G311" s="428">
        <v>1</v>
      </c>
      <c r="H311" s="553"/>
      <c r="I311" s="471">
        <f>+I310/G310</f>
        <v>1.0428621030310801</v>
      </c>
      <c r="J311" s="160">
        <f>+I311-G311</f>
        <v>4.2862103031080068E-2</v>
      </c>
      <c r="K311" s="471">
        <f>+K310/I310</f>
        <v>0.82576650884970637</v>
      </c>
      <c r="Z311" s="358"/>
      <c r="AA311" s="510">
        <f t="shared" si="32"/>
        <v>246</v>
      </c>
      <c r="AB311">
        <f t="shared" si="35"/>
        <v>1341.39</v>
      </c>
      <c r="AC311">
        <f t="shared" si="31"/>
        <v>0</v>
      </c>
    </row>
    <row r="312" spans="1:29" ht="16.5" thickBot="1">
      <c r="A312" s="200"/>
      <c r="B312" s="199"/>
      <c r="C312" s="198"/>
      <c r="D312" s="162"/>
      <c r="E312" s="163">
        <v>1</v>
      </c>
      <c r="F312" s="429" t="s">
        <v>71</v>
      </c>
      <c r="G312" s="375">
        <f>+G310/E310*100%</f>
        <v>0.5202166216357148</v>
      </c>
      <c r="H312" s="484"/>
      <c r="I312" s="472">
        <f>+I310/E310</f>
        <v>0.54251420007074513</v>
      </c>
      <c r="J312" s="160">
        <f>+I312-E312</f>
        <v>-0.45748579992925487</v>
      </c>
      <c r="K312" s="472">
        <f>+K310/G310</f>
        <v>0.86116059803163769</v>
      </c>
      <c r="Z312" s="358"/>
      <c r="AA312" s="510">
        <f t="shared" si="32"/>
        <v>247</v>
      </c>
      <c r="AB312">
        <f t="shared" si="35"/>
        <v>1332.71</v>
      </c>
      <c r="AC312">
        <f t="shared" si="31"/>
        <v>0</v>
      </c>
    </row>
    <row r="313" spans="1:29" ht="15.75">
      <c r="A313" s="161"/>
      <c r="B313" s="162"/>
      <c r="C313" s="162"/>
      <c r="D313" s="162"/>
      <c r="E313" s="162"/>
      <c r="F313" s="377"/>
      <c r="G313" s="429"/>
      <c r="H313" s="484"/>
      <c r="I313" s="473"/>
      <c r="J313" s="165"/>
      <c r="K313" s="473"/>
      <c r="Z313" s="358"/>
      <c r="AA313" s="510">
        <f t="shared" si="32"/>
        <v>248</v>
      </c>
      <c r="AB313">
        <f t="shared" si="35"/>
        <v>1326.75</v>
      </c>
      <c r="AC313">
        <f t="shared" si="31"/>
        <v>0</v>
      </c>
    </row>
    <row r="314" spans="1:29" ht="15.75">
      <c r="A314" s="161"/>
      <c r="B314" s="162"/>
      <c r="C314" s="162"/>
      <c r="D314" s="162"/>
      <c r="E314" s="164">
        <f>+F315/E310*100</f>
        <v>0.2684117101261046</v>
      </c>
      <c r="F314" s="377"/>
      <c r="G314" s="429"/>
      <c r="H314" s="484"/>
      <c r="I314" s="473"/>
      <c r="K314" s="473"/>
      <c r="Z314" s="358"/>
      <c r="AA314" s="510">
        <f t="shared" si="32"/>
        <v>249</v>
      </c>
      <c r="AB314">
        <f t="shared" si="35"/>
        <v>1318.39</v>
      </c>
      <c r="AC314">
        <f t="shared" si="31"/>
        <v>0</v>
      </c>
    </row>
    <row r="315" spans="1:29" ht="15.75">
      <c r="A315" s="162"/>
      <c r="B315" s="162"/>
      <c r="C315" s="162"/>
      <c r="D315" s="162"/>
      <c r="E315" s="162"/>
      <c r="F315" s="430">
        <f>+G302+G301+G300+G299+G298+G297+G295+G294+G293+G292+G291+G289+G286+G280+G279</f>
        <v>4.9930000000000003</v>
      </c>
      <c r="G315" s="429">
        <f>+G313/G310*100</f>
        <v>0</v>
      </c>
      <c r="H315" s="484" t="s">
        <v>71</v>
      </c>
      <c r="I315" s="473"/>
      <c r="K315" s="473" t="s">
        <v>71</v>
      </c>
      <c r="Z315" s="358"/>
      <c r="AA315" s="510">
        <f t="shared" si="32"/>
        <v>250</v>
      </c>
      <c r="AB315">
        <f t="shared" si="35"/>
        <v>1310.04</v>
      </c>
      <c r="AC315">
        <f t="shared" si="31"/>
        <v>0</v>
      </c>
    </row>
    <row r="316" spans="1:29" ht="15.75">
      <c r="A316" s="176"/>
      <c r="B316" s="176"/>
      <c r="C316" s="201"/>
      <c r="D316" s="176"/>
      <c r="E316" s="176"/>
      <c r="F316" s="431"/>
      <c r="G316" s="432"/>
      <c r="H316" s="554"/>
      <c r="I316" s="474"/>
      <c r="K316" s="389"/>
      <c r="Z316" s="358"/>
      <c r="AA316" s="510">
        <f t="shared" si="32"/>
        <v>251</v>
      </c>
      <c r="AB316">
        <f t="shared" si="35"/>
        <v>1302.79</v>
      </c>
      <c r="AC316">
        <f t="shared" si="31"/>
        <v>0</v>
      </c>
    </row>
    <row r="317" spans="1:29" ht="21.75">
      <c r="A317" s="237"/>
      <c r="B317" s="236"/>
      <c r="C317" s="236"/>
      <c r="D317" s="236"/>
      <c r="E317" s="236"/>
      <c r="F317" s="376"/>
      <c r="G317" s="376"/>
      <c r="H317" s="475"/>
      <c r="I317" s="475"/>
      <c r="K317" s="389"/>
      <c r="Z317" s="358"/>
      <c r="AA317" s="510">
        <f t="shared" si="32"/>
        <v>252</v>
      </c>
      <c r="AB317">
        <f t="shared" si="35"/>
        <v>1286.2</v>
      </c>
      <c r="AC317">
        <f t="shared" si="31"/>
        <v>0</v>
      </c>
    </row>
    <row r="318" spans="1:29" ht="13.5" thickBot="1">
      <c r="F318" s="377"/>
      <c r="G318" s="377"/>
      <c r="H318" s="484"/>
      <c r="I318" s="484"/>
      <c r="K318" s="389"/>
      <c r="Z318" s="358"/>
      <c r="AA318" s="510">
        <f t="shared" si="32"/>
        <v>253</v>
      </c>
      <c r="AB318">
        <f t="shared" si="35"/>
        <v>1283</v>
      </c>
      <c r="AC318">
        <f t="shared" si="31"/>
        <v>0</v>
      </c>
    </row>
    <row r="319" spans="1:29" ht="15.75">
      <c r="A319" s="605" t="s">
        <v>20</v>
      </c>
      <c r="B319" s="608" t="s">
        <v>21</v>
      </c>
      <c r="C319" s="608" t="s">
        <v>85</v>
      </c>
      <c r="D319" s="231" t="s">
        <v>22</v>
      </c>
      <c r="E319" s="232"/>
      <c r="F319" s="394" t="s">
        <v>23</v>
      </c>
      <c r="G319" s="395"/>
      <c r="H319" s="555" t="s">
        <v>24</v>
      </c>
      <c r="I319" s="479"/>
      <c r="J319" s="382"/>
      <c r="K319" s="389"/>
      <c r="Z319" s="358"/>
      <c r="AA319" s="510">
        <f t="shared" si="32"/>
        <v>254</v>
      </c>
      <c r="AB319">
        <f t="shared" si="35"/>
        <v>1275</v>
      </c>
      <c r="AC319">
        <f t="shared" si="31"/>
        <v>0</v>
      </c>
    </row>
    <row r="320" spans="1:29" ht="15.75">
      <c r="A320" s="606"/>
      <c r="B320" s="609"/>
      <c r="C320" s="609"/>
      <c r="D320" s="4" t="s">
        <v>26</v>
      </c>
      <c r="E320" s="4" t="s">
        <v>27</v>
      </c>
      <c r="F320" s="396" t="s">
        <v>26</v>
      </c>
      <c r="G320" s="397" t="s">
        <v>27</v>
      </c>
      <c r="H320" s="556" t="s">
        <v>26</v>
      </c>
      <c r="I320" s="480" t="s">
        <v>27</v>
      </c>
      <c r="J320" s="82"/>
      <c r="K320" s="389"/>
      <c r="Z320" s="358"/>
      <c r="AA320" s="510">
        <f t="shared" si="32"/>
        <v>255</v>
      </c>
      <c r="AB320">
        <f t="shared" si="35"/>
        <v>1267</v>
      </c>
      <c r="AC320">
        <f t="shared" si="31"/>
        <v>0</v>
      </c>
    </row>
    <row r="321" spans="1:29" ht="19.5" thickBot="1">
      <c r="A321" s="607"/>
      <c r="B321" s="610"/>
      <c r="C321" s="610"/>
      <c r="D321" s="2" t="s">
        <v>28</v>
      </c>
      <c r="E321" s="2" t="s">
        <v>29</v>
      </c>
      <c r="F321" s="398" t="s">
        <v>28</v>
      </c>
      <c r="G321" s="399" t="s">
        <v>29</v>
      </c>
      <c r="H321" s="557" t="s">
        <v>28</v>
      </c>
      <c r="I321" s="481" t="s">
        <v>29</v>
      </c>
      <c r="J321" s="82"/>
      <c r="K321" s="389"/>
      <c r="Z321" s="358"/>
      <c r="AA321" s="510">
        <f t="shared" si="32"/>
        <v>256</v>
      </c>
      <c r="AB321">
        <f t="shared" si="35"/>
        <v>1259</v>
      </c>
      <c r="AC321">
        <f t="shared" si="31"/>
        <v>0</v>
      </c>
    </row>
    <row r="322" spans="1:29" ht="16.5" thickBot="1">
      <c r="A322" s="70">
        <v>1</v>
      </c>
      <c r="B322" s="21">
        <v>2</v>
      </c>
      <c r="C322" s="21">
        <v>3</v>
      </c>
      <c r="D322" s="21">
        <v>4</v>
      </c>
      <c r="E322" s="21">
        <v>5</v>
      </c>
      <c r="F322" s="400">
        <v>6</v>
      </c>
      <c r="G322" s="400">
        <v>7</v>
      </c>
      <c r="H322" s="467">
        <v>8</v>
      </c>
      <c r="I322" s="482">
        <v>9</v>
      </c>
      <c r="J322" s="383"/>
      <c r="K322" s="389"/>
      <c r="Z322" s="358"/>
      <c r="AA322" s="510">
        <f t="shared" si="32"/>
        <v>257</v>
      </c>
      <c r="AB322">
        <f t="shared" si="35"/>
        <v>1250</v>
      </c>
      <c r="AC322">
        <f t="shared" ref="AC322:AC385" si="36">IF(COUNT(AA322:AB322)=2,0,-Z$49/500)</f>
        <v>0</v>
      </c>
    </row>
    <row r="323" spans="1:29" ht="15.75">
      <c r="A323" s="138">
        <v>1</v>
      </c>
      <c r="B323" s="139" t="s">
        <v>31</v>
      </c>
      <c r="C323" s="139" t="s">
        <v>86</v>
      </c>
      <c r="D323" s="140">
        <v>55.75</v>
      </c>
      <c r="E323" s="355">
        <v>37.046999999999997</v>
      </c>
      <c r="F323" s="417">
        <v>53.24</v>
      </c>
      <c r="G323" s="401">
        <v>21.414000000000001</v>
      </c>
      <c r="H323" s="544">
        <v>50.6</v>
      </c>
      <c r="I323" s="569">
        <v>8.5939999999999994</v>
      </c>
      <c r="J323" s="560" t="s">
        <v>233</v>
      </c>
      <c r="K323" s="485">
        <v>38.808</v>
      </c>
      <c r="Z323" s="358"/>
      <c r="AA323" s="510">
        <f t="shared" ref="AA323:AA386" si="37">AA322+1</f>
        <v>258</v>
      </c>
      <c r="AB323">
        <f t="shared" si="35"/>
        <v>1241</v>
      </c>
      <c r="AC323">
        <f t="shared" si="36"/>
        <v>0</v>
      </c>
    </row>
    <row r="324" spans="1:29" ht="15.75">
      <c r="A324" s="141"/>
      <c r="B324" s="142" t="s">
        <v>32</v>
      </c>
      <c r="C324" s="142" t="s">
        <v>86</v>
      </c>
      <c r="D324" s="143">
        <v>339.5</v>
      </c>
      <c r="E324" s="356">
        <v>7.77</v>
      </c>
      <c r="F324" s="418">
        <v>338.77</v>
      </c>
      <c r="G324" s="403">
        <v>7.157</v>
      </c>
      <c r="H324" s="545">
        <v>339.43</v>
      </c>
      <c r="I324" s="570">
        <v>7.7119999999999997</v>
      </c>
      <c r="J324" s="321"/>
      <c r="K324" s="379">
        <v>7.8419999999999996</v>
      </c>
      <c r="Z324" s="358"/>
      <c r="AA324" s="510">
        <f t="shared" si="37"/>
        <v>259</v>
      </c>
      <c r="AB324">
        <f t="shared" si="35"/>
        <v>1232</v>
      </c>
      <c r="AC324">
        <f t="shared" si="36"/>
        <v>0</v>
      </c>
    </row>
    <row r="325" spans="1:29" ht="15.75">
      <c r="A325" s="141">
        <f t="shared" ref="A325:A359" si="38">+A324+1</f>
        <v>1</v>
      </c>
      <c r="B325" s="142" t="s">
        <v>33</v>
      </c>
      <c r="C325" s="142" t="s">
        <v>87</v>
      </c>
      <c r="D325" s="143">
        <v>77.5</v>
      </c>
      <c r="E325" s="356">
        <v>49.02</v>
      </c>
      <c r="F325" s="402">
        <v>73.650000000000006</v>
      </c>
      <c r="G325" s="403">
        <v>27.367000000000001</v>
      </c>
      <c r="H325" s="545">
        <v>73.150000000000006</v>
      </c>
      <c r="I325" s="570">
        <v>25.004999999999999</v>
      </c>
      <c r="J325" s="321"/>
      <c r="K325" s="379">
        <v>47.98</v>
      </c>
      <c r="Z325" s="358"/>
      <c r="AA325" s="510">
        <f t="shared" si="37"/>
        <v>260</v>
      </c>
      <c r="AB325">
        <f t="shared" si="35"/>
        <v>1211.2529999999999</v>
      </c>
      <c r="AC325">
        <f t="shared" si="36"/>
        <v>0</v>
      </c>
    </row>
    <row r="326" spans="1:29" ht="15.75">
      <c r="A326" s="141">
        <f t="shared" si="38"/>
        <v>2</v>
      </c>
      <c r="B326" s="142" t="s">
        <v>34</v>
      </c>
      <c r="C326" s="142" t="s">
        <v>88</v>
      </c>
      <c r="D326" s="143">
        <v>463.3</v>
      </c>
      <c r="E326" s="356">
        <v>49.9</v>
      </c>
      <c r="F326" s="404">
        <v>461.79</v>
      </c>
      <c r="G326" s="419">
        <v>21.04</v>
      </c>
      <c r="H326" s="546">
        <v>461.8</v>
      </c>
      <c r="I326" s="577">
        <v>21.2</v>
      </c>
      <c r="J326" s="318"/>
      <c r="K326" s="389" t="b">
        <f t="shared" ref="K326:K336" si="39">IF(F326&gt;H326,G326&gt;I326,(IF(F326&lt;H326,G326&lt;I326,(IF(F326=H326,G326=I326,(IF(F326&gt;H326,G326&lt;I326,"")))))))</f>
        <v>1</v>
      </c>
      <c r="Z326" s="358"/>
      <c r="AA326" s="510">
        <f t="shared" si="37"/>
        <v>261</v>
      </c>
      <c r="AB326">
        <f t="shared" si="35"/>
        <v>1203.5709999999999</v>
      </c>
      <c r="AC326">
        <f t="shared" si="36"/>
        <v>0</v>
      </c>
    </row>
    <row r="327" spans="1:29" ht="15.75">
      <c r="A327" s="141">
        <f t="shared" si="38"/>
        <v>3</v>
      </c>
      <c r="B327" s="142" t="s">
        <v>35</v>
      </c>
      <c r="C327" s="142" t="s">
        <v>89</v>
      </c>
      <c r="D327" s="143">
        <v>207</v>
      </c>
      <c r="E327" s="356">
        <v>9.5030000000000001</v>
      </c>
      <c r="F327" s="404">
        <v>196.62</v>
      </c>
      <c r="G327" s="420">
        <v>3.0750000000000002</v>
      </c>
      <c r="H327" s="547">
        <v>199.3</v>
      </c>
      <c r="I327" s="589">
        <v>2.899</v>
      </c>
      <c r="J327" s="321"/>
      <c r="K327" s="389" t="b">
        <f t="shared" si="39"/>
        <v>0</v>
      </c>
      <c r="Z327" s="358"/>
      <c r="AA327" s="510">
        <f t="shared" si="37"/>
        <v>262</v>
      </c>
      <c r="AB327">
        <f t="shared" si="35"/>
        <v>1182.797</v>
      </c>
      <c r="AC327">
        <f t="shared" si="36"/>
        <v>0</v>
      </c>
    </row>
    <row r="328" spans="1:29" ht="15.75">
      <c r="A328" s="141">
        <f t="shared" si="38"/>
        <v>4</v>
      </c>
      <c r="B328" s="142" t="s">
        <v>36</v>
      </c>
      <c r="C328" s="142" t="s">
        <v>89</v>
      </c>
      <c r="D328" s="143">
        <v>320</v>
      </c>
      <c r="E328" s="144">
        <v>5.1509999999999998</v>
      </c>
      <c r="F328" s="404">
        <v>311.66000000000003</v>
      </c>
      <c r="G328" s="420">
        <v>1.7130000000000001</v>
      </c>
      <c r="H328" s="592">
        <v>311.87</v>
      </c>
      <c r="I328" s="589">
        <v>1.7829999999999999</v>
      </c>
      <c r="J328" s="321"/>
      <c r="K328" s="389" t="b">
        <f t="shared" si="39"/>
        <v>1</v>
      </c>
      <c r="Z328" s="358"/>
      <c r="AA328" s="510">
        <f t="shared" si="37"/>
        <v>263</v>
      </c>
      <c r="AB328">
        <f t="shared" si="35"/>
        <v>1177.3440000000001</v>
      </c>
      <c r="AC328">
        <f t="shared" si="36"/>
        <v>0</v>
      </c>
    </row>
    <row r="329" spans="1:29" ht="15.75">
      <c r="A329" s="141"/>
      <c r="B329" s="142" t="s">
        <v>37</v>
      </c>
      <c r="C329" s="142" t="s">
        <v>90</v>
      </c>
      <c r="D329" s="143">
        <v>90</v>
      </c>
      <c r="E329" s="356">
        <v>723.16</v>
      </c>
      <c r="F329" s="404">
        <v>84.06</v>
      </c>
      <c r="G329" s="421">
        <v>485.46</v>
      </c>
      <c r="H329" s="545">
        <v>80.86</v>
      </c>
      <c r="I329" s="590">
        <v>373.91</v>
      </c>
      <c r="J329" s="318"/>
      <c r="K329" s="389" t="b">
        <f t="shared" si="39"/>
        <v>1</v>
      </c>
      <c r="Z329" s="358"/>
      <c r="AA329" s="510">
        <f t="shared" si="37"/>
        <v>264</v>
      </c>
      <c r="AB329">
        <f t="shared" si="35"/>
        <v>1169.374</v>
      </c>
      <c r="AC329">
        <f t="shared" si="36"/>
        <v>0</v>
      </c>
    </row>
    <row r="330" spans="1:29" ht="15.75">
      <c r="A330" s="141">
        <f t="shared" si="38"/>
        <v>1</v>
      </c>
      <c r="B330" s="142" t="s">
        <v>38</v>
      </c>
      <c r="C330" s="142" t="s">
        <v>91</v>
      </c>
      <c r="D330" s="143">
        <v>120.5</v>
      </c>
      <c r="E330" s="144">
        <v>2.0920000000000001</v>
      </c>
      <c r="F330" s="404">
        <v>114.9</v>
      </c>
      <c r="G330" s="419">
        <v>0.28799999999999998</v>
      </c>
      <c r="H330" s="591">
        <v>115.54</v>
      </c>
      <c r="I330" s="589">
        <v>0.46200000000000002</v>
      </c>
      <c r="J330" s="321" t="s">
        <v>215</v>
      </c>
      <c r="K330" s="389" t="b">
        <f t="shared" si="39"/>
        <v>1</v>
      </c>
      <c r="Z330" s="358"/>
      <c r="AA330" s="510">
        <f t="shared" si="37"/>
        <v>265</v>
      </c>
      <c r="AB330">
        <f t="shared" si="35"/>
        <v>1159.9259999999999</v>
      </c>
      <c r="AC330">
        <f t="shared" si="36"/>
        <v>0</v>
      </c>
    </row>
    <row r="331" spans="1:29" ht="15.75">
      <c r="A331" s="141">
        <f t="shared" si="38"/>
        <v>2</v>
      </c>
      <c r="B331" s="142" t="s">
        <v>39</v>
      </c>
      <c r="C331" s="142" t="s">
        <v>91</v>
      </c>
      <c r="D331" s="143">
        <v>120.8</v>
      </c>
      <c r="E331" s="144">
        <v>2.3530000000000002</v>
      </c>
      <c r="F331" s="404">
        <v>113.61</v>
      </c>
      <c r="G331" s="419">
        <v>0.35699999999999998</v>
      </c>
      <c r="H331" s="591">
        <v>119.33</v>
      </c>
      <c r="I331" s="589">
        <v>1.613</v>
      </c>
      <c r="J331" s="321" t="s">
        <v>215</v>
      </c>
      <c r="K331" s="389" t="b">
        <f t="shared" si="39"/>
        <v>1</v>
      </c>
      <c r="Z331" s="358"/>
      <c r="AA331" s="510">
        <f t="shared" si="37"/>
        <v>266</v>
      </c>
      <c r="AB331">
        <f t="shared" si="35"/>
        <v>1150.8440000000001</v>
      </c>
      <c r="AC331">
        <f t="shared" si="36"/>
        <v>0</v>
      </c>
    </row>
    <row r="332" spans="1:29" ht="15.75">
      <c r="A332" s="141">
        <f t="shared" si="38"/>
        <v>3</v>
      </c>
      <c r="B332" s="142" t="s">
        <v>40</v>
      </c>
      <c r="C332" s="142" t="s">
        <v>92</v>
      </c>
      <c r="D332" s="146">
        <v>46.5</v>
      </c>
      <c r="E332" s="149">
        <v>4.5999999999999996</v>
      </c>
      <c r="F332" s="405">
        <v>43.1</v>
      </c>
      <c r="G332" s="408">
        <v>2.1640000000000001</v>
      </c>
      <c r="H332" s="592">
        <v>43.78</v>
      </c>
      <c r="I332" s="571">
        <v>2.5009999999999999</v>
      </c>
      <c r="J332" s="321" t="s">
        <v>216</v>
      </c>
      <c r="K332" s="389" t="b">
        <f t="shared" si="39"/>
        <v>1</v>
      </c>
      <c r="Z332" s="358"/>
      <c r="AA332" s="510">
        <f t="shared" si="37"/>
        <v>267</v>
      </c>
      <c r="AB332">
        <f t="shared" si="35"/>
        <v>1146</v>
      </c>
      <c r="AC332">
        <f t="shared" si="36"/>
        <v>0</v>
      </c>
    </row>
    <row r="333" spans="1:29" ht="15.75">
      <c r="A333" s="141">
        <f t="shared" si="38"/>
        <v>4</v>
      </c>
      <c r="B333" s="142" t="s">
        <v>42</v>
      </c>
      <c r="C333" s="142" t="s">
        <v>92</v>
      </c>
      <c r="D333" s="143">
        <v>51.5</v>
      </c>
      <c r="E333" s="144">
        <v>2.4159999999999999</v>
      </c>
      <c r="F333" s="404">
        <v>46.86</v>
      </c>
      <c r="G333" s="421">
        <v>0.90600000000000003</v>
      </c>
      <c r="H333" s="592">
        <v>49.64</v>
      </c>
      <c r="I333" s="593">
        <v>1.96</v>
      </c>
      <c r="J333" s="321" t="s">
        <v>217</v>
      </c>
      <c r="K333" s="389" t="b">
        <f t="shared" si="39"/>
        <v>1</v>
      </c>
      <c r="Z333" s="358"/>
      <c r="AA333" s="510">
        <f t="shared" si="37"/>
        <v>268</v>
      </c>
      <c r="AB333">
        <f t="shared" si="35"/>
        <v>1138.54</v>
      </c>
      <c r="AC333">
        <f t="shared" si="36"/>
        <v>0</v>
      </c>
    </row>
    <row r="334" spans="1:29" ht="15.75">
      <c r="A334" s="141">
        <f t="shared" si="38"/>
        <v>5</v>
      </c>
      <c r="B334" s="142" t="s">
        <v>43</v>
      </c>
      <c r="C334" s="142" t="s">
        <v>90</v>
      </c>
      <c r="D334" s="143">
        <f>71 +10</f>
        <v>81</v>
      </c>
      <c r="E334" s="144">
        <v>1.093</v>
      </c>
      <c r="F334" s="143">
        <f>71 +2.94</f>
        <v>73.94</v>
      </c>
      <c r="G334" s="419">
        <v>0.18</v>
      </c>
      <c r="H334" s="594">
        <f>71 +4.98</f>
        <v>75.98</v>
      </c>
      <c r="I334" s="593">
        <v>0.37</v>
      </c>
      <c r="J334" s="321" t="s">
        <v>215</v>
      </c>
      <c r="K334" s="389" t="b">
        <f t="shared" si="39"/>
        <v>1</v>
      </c>
      <c r="Z334" s="358"/>
      <c r="AA334" s="510">
        <f t="shared" si="37"/>
        <v>269</v>
      </c>
      <c r="AB334">
        <f t="shared" si="35"/>
        <v>1131.5999999999999</v>
      </c>
      <c r="AC334">
        <f t="shared" si="36"/>
        <v>0</v>
      </c>
    </row>
    <row r="335" spans="1:29" ht="15.75">
      <c r="A335" s="141">
        <f t="shared" si="38"/>
        <v>6</v>
      </c>
      <c r="B335" s="142" t="s">
        <v>44</v>
      </c>
      <c r="C335" s="142" t="s">
        <v>90</v>
      </c>
      <c r="D335" s="143">
        <f>75.8+7</f>
        <v>82.8</v>
      </c>
      <c r="E335" s="144">
        <v>0.42899999999999999</v>
      </c>
      <c r="F335" s="143">
        <f>75.8+4.22</f>
        <v>80.02</v>
      </c>
      <c r="G335" s="419">
        <v>8.4000000000000005E-2</v>
      </c>
      <c r="H335" s="594">
        <f>75.8+6.72</f>
        <v>82.52</v>
      </c>
      <c r="I335" s="593">
        <v>0.38500000000000001</v>
      </c>
      <c r="J335" s="321" t="s">
        <v>225</v>
      </c>
      <c r="K335" s="389" t="b">
        <f t="shared" si="39"/>
        <v>1</v>
      </c>
      <c r="Z335" s="358"/>
      <c r="AA335" s="510">
        <f t="shared" si="37"/>
        <v>270</v>
      </c>
      <c r="AB335">
        <f t="shared" si="35"/>
        <v>1119</v>
      </c>
      <c r="AC335">
        <f t="shared" si="36"/>
        <v>0</v>
      </c>
    </row>
    <row r="336" spans="1:29" ht="15.75">
      <c r="A336" s="141">
        <f t="shared" si="38"/>
        <v>7</v>
      </c>
      <c r="B336" s="142" t="s">
        <v>45</v>
      </c>
      <c r="C336" s="142" t="s">
        <v>90</v>
      </c>
      <c r="D336" s="143">
        <f>65.65 +4.3</f>
        <v>69.95</v>
      </c>
      <c r="E336" s="144">
        <v>0.25</v>
      </c>
      <c r="F336" s="143">
        <f>65.65 +2</f>
        <v>67.650000000000006</v>
      </c>
      <c r="G336" s="421">
        <v>4.9000000000000002E-2</v>
      </c>
      <c r="H336" s="594">
        <f>65.65 +4.39</f>
        <v>70.040000000000006</v>
      </c>
      <c r="I336" s="593">
        <v>0.26500000000000001</v>
      </c>
      <c r="J336" s="321" t="s">
        <v>225</v>
      </c>
      <c r="K336" s="389" t="b">
        <f t="shared" si="39"/>
        <v>1</v>
      </c>
      <c r="Z336" s="358"/>
      <c r="AA336" s="510">
        <f t="shared" si="37"/>
        <v>271</v>
      </c>
      <c r="AB336">
        <f t="shared" si="35"/>
        <v>1109.9000000000001</v>
      </c>
      <c r="AC336">
        <f t="shared" si="36"/>
        <v>0</v>
      </c>
    </row>
    <row r="337" spans="1:29" ht="15.75">
      <c r="A337" s="141">
        <f t="shared" si="38"/>
        <v>8</v>
      </c>
      <c r="B337" s="142" t="s">
        <v>46</v>
      </c>
      <c r="C337" s="142" t="s">
        <v>90</v>
      </c>
      <c r="D337" s="146">
        <v>5.21</v>
      </c>
      <c r="E337" s="144">
        <v>0.38500000000000001</v>
      </c>
      <c r="F337" s="404">
        <v>1.1599999999999999</v>
      </c>
      <c r="G337" s="419">
        <v>0.09</v>
      </c>
      <c r="H337" s="595">
        <v>3.46</v>
      </c>
      <c r="I337" s="589">
        <v>0.14599999999999999</v>
      </c>
      <c r="J337" s="321" t="s">
        <v>215</v>
      </c>
      <c r="K337" s="389" t="b">
        <f t="shared" ref="K337:K360" si="40">IF(F337&gt;H337,G337&gt;I337,(IF(F337&lt;H337,G337&lt;I337,(IF(F337=H337,G337=I337,(IF(F337&gt;H337,G337&lt;I337,"")))))))</f>
        <v>1</v>
      </c>
      <c r="Z337" s="358"/>
      <c r="AA337" s="510">
        <f t="shared" si="37"/>
        <v>272</v>
      </c>
      <c r="AB337">
        <f t="shared" si="35"/>
        <v>1098</v>
      </c>
      <c r="AC337">
        <f t="shared" si="36"/>
        <v>0</v>
      </c>
    </row>
    <row r="338" spans="1:29" ht="15.75">
      <c r="A338" s="141">
        <f t="shared" si="38"/>
        <v>9</v>
      </c>
      <c r="B338" s="142" t="s">
        <v>94</v>
      </c>
      <c r="C338" s="142" t="s">
        <v>47</v>
      </c>
      <c r="D338" s="143">
        <v>138.19999999999999</v>
      </c>
      <c r="E338" s="356">
        <v>440</v>
      </c>
      <c r="F338" s="404">
        <v>127.58</v>
      </c>
      <c r="G338" s="409">
        <v>66.882000000000005</v>
      </c>
      <c r="H338" s="547">
        <v>132.62</v>
      </c>
      <c r="I338" s="571">
        <v>208.74700000000001</v>
      </c>
      <c r="J338" s="321"/>
      <c r="K338" s="389" t="b">
        <f t="shared" si="40"/>
        <v>1</v>
      </c>
      <c r="Z338" s="358"/>
      <c r="AA338" s="510">
        <f t="shared" si="37"/>
        <v>273</v>
      </c>
      <c r="AB338">
        <f t="shared" si="35"/>
        <v>1087.1199999999999</v>
      </c>
      <c r="AC338">
        <f t="shared" si="36"/>
        <v>0</v>
      </c>
    </row>
    <row r="339" spans="1:29" ht="15.75">
      <c r="A339" s="141"/>
      <c r="B339" s="142" t="s">
        <v>48</v>
      </c>
      <c r="C339" s="142" t="s">
        <v>47</v>
      </c>
      <c r="D339" s="143">
        <v>113.5</v>
      </c>
      <c r="E339" s="144">
        <v>3.7519999999999998</v>
      </c>
      <c r="F339" s="404">
        <v>107.29</v>
      </c>
      <c r="G339" s="421">
        <v>1.2430000000000001</v>
      </c>
      <c r="H339" s="548">
        <v>110.7</v>
      </c>
      <c r="I339" s="571">
        <v>2.3959999999999999</v>
      </c>
      <c r="J339" s="321"/>
      <c r="K339" s="389" t="b">
        <f t="shared" si="40"/>
        <v>1</v>
      </c>
      <c r="Z339" s="358"/>
      <c r="AA339" s="510">
        <f t="shared" si="37"/>
        <v>274</v>
      </c>
      <c r="AB339">
        <f t="shared" ref="AB339:AB369" si="41">IF(V7="tad","tad",V7)</f>
        <v>1087.08</v>
      </c>
      <c r="AC339">
        <f t="shared" si="36"/>
        <v>0</v>
      </c>
    </row>
    <row r="340" spans="1:29" ht="15.75">
      <c r="A340" s="141">
        <f t="shared" si="38"/>
        <v>1</v>
      </c>
      <c r="B340" s="142" t="s">
        <v>49</v>
      </c>
      <c r="C340" s="142" t="s">
        <v>47</v>
      </c>
      <c r="D340" s="143">
        <v>225.4</v>
      </c>
      <c r="E340" s="148">
        <v>1.2</v>
      </c>
      <c r="F340" s="404">
        <v>222.8</v>
      </c>
      <c r="G340" s="421">
        <v>3.9E-2</v>
      </c>
      <c r="H340" s="550">
        <v>224.65</v>
      </c>
      <c r="I340" s="572">
        <v>0.40100000000000002</v>
      </c>
      <c r="J340" s="321"/>
      <c r="K340" s="389" t="b">
        <f t="shared" si="40"/>
        <v>1</v>
      </c>
      <c r="Z340" s="358"/>
      <c r="AA340" s="510">
        <f t="shared" si="37"/>
        <v>275</v>
      </c>
      <c r="AB340">
        <f t="shared" si="41"/>
        <v>1064.8599999999999</v>
      </c>
      <c r="AC340">
        <f t="shared" si="36"/>
        <v>0</v>
      </c>
    </row>
    <row r="341" spans="1:29" ht="15.75">
      <c r="A341" s="141">
        <f t="shared" si="38"/>
        <v>2</v>
      </c>
      <c r="B341" s="142" t="s">
        <v>50</v>
      </c>
      <c r="C341" s="142" t="s">
        <v>47</v>
      </c>
      <c r="D341" s="143">
        <v>224</v>
      </c>
      <c r="E341" s="144">
        <v>0.65100000000000002</v>
      </c>
      <c r="F341" s="404">
        <v>215.95</v>
      </c>
      <c r="G341" s="421">
        <v>7.4999999999999997E-2</v>
      </c>
      <c r="H341" s="548">
        <v>220.5</v>
      </c>
      <c r="I341" s="573">
        <v>0.317</v>
      </c>
      <c r="J341" s="321"/>
      <c r="K341" s="389" t="b">
        <f t="shared" si="40"/>
        <v>1</v>
      </c>
      <c r="Z341" s="358"/>
      <c r="AA341" s="510">
        <f t="shared" si="37"/>
        <v>276</v>
      </c>
      <c r="AB341">
        <f t="shared" si="41"/>
        <v>1056.0999999999999</v>
      </c>
      <c r="AC341">
        <f t="shared" si="36"/>
        <v>0</v>
      </c>
    </row>
    <row r="342" spans="1:29" ht="15.75">
      <c r="A342" s="141">
        <f t="shared" si="38"/>
        <v>3</v>
      </c>
      <c r="B342" s="142" t="s">
        <v>51</v>
      </c>
      <c r="C342" s="142" t="s">
        <v>47</v>
      </c>
      <c r="D342" s="143">
        <v>196</v>
      </c>
      <c r="E342" s="144">
        <v>1.5820000000000001</v>
      </c>
      <c r="F342" s="404">
        <v>192.95</v>
      </c>
      <c r="G342" s="421">
        <v>1.1000000000000001</v>
      </c>
      <c r="H342" s="548">
        <v>196.12</v>
      </c>
      <c r="I342" s="571">
        <v>1.6020000000000001</v>
      </c>
      <c r="J342" s="321"/>
      <c r="K342" s="389" t="b">
        <f t="shared" si="40"/>
        <v>1</v>
      </c>
      <c r="Z342" s="358"/>
      <c r="AA342" s="510">
        <f t="shared" si="37"/>
        <v>277</v>
      </c>
      <c r="AB342">
        <f t="shared" si="41"/>
        <v>1046.93</v>
      </c>
      <c r="AC342">
        <f t="shared" si="36"/>
        <v>0</v>
      </c>
    </row>
    <row r="343" spans="1:29" ht="16.5" thickBot="1">
      <c r="A343" s="150">
        <f t="shared" si="38"/>
        <v>4</v>
      </c>
      <c r="B343" s="151" t="s">
        <v>52</v>
      </c>
      <c r="C343" s="151" t="s">
        <v>47</v>
      </c>
      <c r="D343" s="152">
        <v>174</v>
      </c>
      <c r="E343" s="153">
        <v>0.47899999999999998</v>
      </c>
      <c r="F343" s="422">
        <v>172.62</v>
      </c>
      <c r="G343" s="423">
        <v>9.8000000000000004E-2</v>
      </c>
      <c r="H343" s="551">
        <v>174</v>
      </c>
      <c r="I343" s="574">
        <v>0.249</v>
      </c>
      <c r="J343" s="370"/>
      <c r="K343" s="389" t="b">
        <f t="shared" si="40"/>
        <v>1</v>
      </c>
      <c r="Z343" s="358"/>
      <c r="AA343" s="510">
        <f t="shared" si="37"/>
        <v>278</v>
      </c>
      <c r="AB343">
        <f t="shared" si="41"/>
        <v>1037.18</v>
      </c>
      <c r="AC343">
        <f t="shared" si="36"/>
        <v>0</v>
      </c>
    </row>
    <row r="344" spans="1:29" ht="15.75">
      <c r="A344" s="138">
        <f t="shared" si="38"/>
        <v>5</v>
      </c>
      <c r="B344" s="139" t="s">
        <v>53</v>
      </c>
      <c r="C344" s="139" t="s">
        <v>47</v>
      </c>
      <c r="D344" s="140">
        <v>229.1</v>
      </c>
      <c r="E344" s="368">
        <v>0.79200000000000004</v>
      </c>
      <c r="F344" s="424">
        <v>219.01</v>
      </c>
      <c r="G344" s="425">
        <v>8.8999999999999996E-2</v>
      </c>
      <c r="H344" s="552">
        <v>220.75</v>
      </c>
      <c r="I344" s="575">
        <v>0.16</v>
      </c>
      <c r="J344" s="369" t="s">
        <v>161</v>
      </c>
      <c r="K344" s="389" t="b">
        <f t="shared" si="40"/>
        <v>1</v>
      </c>
      <c r="Z344" s="358"/>
      <c r="AA344" s="510">
        <f t="shared" si="37"/>
        <v>279</v>
      </c>
      <c r="AB344">
        <f t="shared" si="41"/>
        <v>1026.43</v>
      </c>
      <c r="AC344">
        <f t="shared" si="36"/>
        <v>0</v>
      </c>
    </row>
    <row r="345" spans="1:29" ht="15.75">
      <c r="A345" s="141">
        <f t="shared" si="38"/>
        <v>6</v>
      </c>
      <c r="B345" s="142" t="s">
        <v>54</v>
      </c>
      <c r="C345" s="142" t="s">
        <v>47</v>
      </c>
      <c r="D345" s="143">
        <v>249</v>
      </c>
      <c r="E345" s="144">
        <v>2.1240000000000001</v>
      </c>
      <c r="F345" s="404">
        <v>241.47</v>
      </c>
      <c r="G345" s="421">
        <v>0.72399999999999998</v>
      </c>
      <c r="H345" s="548">
        <v>245</v>
      </c>
      <c r="I345" s="573">
        <v>0.98799999999999999</v>
      </c>
      <c r="J345" s="321"/>
      <c r="K345" s="389" t="b">
        <f t="shared" si="40"/>
        <v>1</v>
      </c>
      <c r="Z345" s="358"/>
      <c r="AA345" s="510">
        <f t="shared" si="37"/>
        <v>280</v>
      </c>
      <c r="AB345">
        <f t="shared" si="41"/>
        <v>1015.48</v>
      </c>
      <c r="AC345">
        <f t="shared" si="36"/>
        <v>0</v>
      </c>
    </row>
    <row r="346" spans="1:29" ht="15.75">
      <c r="A346" s="141">
        <f t="shared" si="38"/>
        <v>7</v>
      </c>
      <c r="B346" s="142" t="s">
        <v>55</v>
      </c>
      <c r="C346" s="142" t="s">
        <v>95</v>
      </c>
      <c r="D346" s="143">
        <v>164.75</v>
      </c>
      <c r="E346" s="148">
        <v>5</v>
      </c>
      <c r="F346" s="404">
        <v>156.11000000000001</v>
      </c>
      <c r="G346" s="421">
        <v>0.98599999999999999</v>
      </c>
      <c r="H346" s="547">
        <v>156</v>
      </c>
      <c r="I346" s="573">
        <v>0.94699999999999995</v>
      </c>
      <c r="J346" s="321"/>
      <c r="K346" s="389" t="b">
        <f t="shared" si="40"/>
        <v>1</v>
      </c>
      <c r="Z346" s="358"/>
      <c r="AA346" s="510">
        <f t="shared" si="37"/>
        <v>281</v>
      </c>
      <c r="AB346">
        <f t="shared" si="41"/>
        <v>1005.84</v>
      </c>
      <c r="AC346">
        <f t="shared" si="36"/>
        <v>0</v>
      </c>
    </row>
    <row r="347" spans="1:29" ht="15.75">
      <c r="A347" s="141">
        <f t="shared" si="38"/>
        <v>8</v>
      </c>
      <c r="B347" s="142" t="s">
        <v>56</v>
      </c>
      <c r="C347" s="142" t="s">
        <v>95</v>
      </c>
      <c r="D347" s="143">
        <v>179.1</v>
      </c>
      <c r="E347" s="144">
        <v>4.2</v>
      </c>
      <c r="F347" s="426">
        <v>168.86</v>
      </c>
      <c r="G347" s="420">
        <v>0.47599999999999998</v>
      </c>
      <c r="H347" s="547">
        <v>174.4</v>
      </c>
      <c r="I347" s="571">
        <v>1.8460000000000001</v>
      </c>
      <c r="J347" s="321"/>
      <c r="K347" s="389" t="b">
        <f t="shared" si="40"/>
        <v>1</v>
      </c>
      <c r="Z347" s="358"/>
      <c r="AA347" s="510">
        <f t="shared" si="37"/>
        <v>282</v>
      </c>
      <c r="AB347">
        <f t="shared" si="41"/>
        <v>996.82</v>
      </c>
      <c r="AC347">
        <f t="shared" si="36"/>
        <v>0</v>
      </c>
    </row>
    <row r="348" spans="1:29" ht="15.75">
      <c r="A348" s="141">
        <f t="shared" si="38"/>
        <v>9</v>
      </c>
      <c r="B348" s="142" t="s">
        <v>57</v>
      </c>
      <c r="C348" s="142" t="s">
        <v>96</v>
      </c>
      <c r="D348" s="143">
        <v>326.56</v>
      </c>
      <c r="E348" s="144">
        <v>0.70099999999999996</v>
      </c>
      <c r="F348" s="407">
        <v>318.94</v>
      </c>
      <c r="G348" s="406">
        <v>0.222</v>
      </c>
      <c r="H348" s="548">
        <v>325.56</v>
      </c>
      <c r="I348" s="573">
        <v>0.70099999999999996</v>
      </c>
      <c r="J348" s="321"/>
      <c r="K348" s="389" t="b">
        <f t="shared" si="40"/>
        <v>1</v>
      </c>
      <c r="Z348" s="358"/>
      <c r="AA348" s="510">
        <f t="shared" si="37"/>
        <v>283</v>
      </c>
      <c r="AB348">
        <f t="shared" si="41"/>
        <v>991.32</v>
      </c>
      <c r="AC348">
        <f t="shared" si="36"/>
        <v>0</v>
      </c>
    </row>
    <row r="349" spans="1:29" ht="15.75">
      <c r="A349" s="141">
        <f t="shared" si="38"/>
        <v>10</v>
      </c>
      <c r="B349" s="142" t="s">
        <v>58</v>
      </c>
      <c r="C349" s="142" t="s">
        <v>96</v>
      </c>
      <c r="D349" s="143">
        <v>129.19999999999999</v>
      </c>
      <c r="E349" s="144">
        <v>0.5</v>
      </c>
      <c r="F349" s="404">
        <v>125.89</v>
      </c>
      <c r="G349" s="421">
        <v>0.16400000000000001</v>
      </c>
      <c r="H349" s="548">
        <v>127.44</v>
      </c>
      <c r="I349" s="571">
        <v>0.317</v>
      </c>
      <c r="J349" s="321"/>
      <c r="K349" s="389" t="b">
        <f t="shared" si="40"/>
        <v>1</v>
      </c>
      <c r="Z349" s="358"/>
      <c r="AA349" s="510">
        <f t="shared" si="37"/>
        <v>284</v>
      </c>
      <c r="AB349">
        <f t="shared" si="41"/>
        <v>982.93</v>
      </c>
      <c r="AC349">
        <f t="shared" si="36"/>
        <v>0</v>
      </c>
    </row>
    <row r="350" spans="1:29" ht="15.75">
      <c r="A350" s="141">
        <f t="shared" si="38"/>
        <v>11</v>
      </c>
      <c r="B350" s="142" t="s">
        <v>59</v>
      </c>
      <c r="C350" s="142" t="s">
        <v>96</v>
      </c>
      <c r="D350" s="143">
        <v>282.76</v>
      </c>
      <c r="E350" s="144">
        <v>0.51300000000000001</v>
      </c>
      <c r="F350" s="404">
        <v>279.52999999999997</v>
      </c>
      <c r="G350" s="421">
        <v>0.16900000000000001</v>
      </c>
      <c r="H350" s="550">
        <v>282.77999999999997</v>
      </c>
      <c r="I350" s="571">
        <v>0.51300000000000001</v>
      </c>
      <c r="J350" s="321"/>
      <c r="K350" s="389" t="b">
        <f t="shared" si="40"/>
        <v>1</v>
      </c>
      <c r="Z350" s="358"/>
      <c r="AA350" s="510">
        <f t="shared" si="37"/>
        <v>285</v>
      </c>
      <c r="AB350">
        <f t="shared" si="41"/>
        <v>976</v>
      </c>
      <c r="AC350">
        <f t="shared" si="36"/>
        <v>0</v>
      </c>
    </row>
    <row r="351" spans="1:29" ht="15.75">
      <c r="A351" s="141">
        <f t="shared" si="38"/>
        <v>12</v>
      </c>
      <c r="B351" s="142" t="s">
        <v>60</v>
      </c>
      <c r="C351" s="142" t="s">
        <v>96</v>
      </c>
      <c r="D351" s="143">
        <v>99</v>
      </c>
      <c r="E351" s="144">
        <v>2.6110000000000002</v>
      </c>
      <c r="F351" s="404">
        <v>93.8</v>
      </c>
      <c r="G351" s="421">
        <v>0.58899999999999997</v>
      </c>
      <c r="H351" s="548">
        <v>97.89</v>
      </c>
      <c r="I351" s="573">
        <v>2.028</v>
      </c>
      <c r="J351" s="321"/>
      <c r="K351" s="389" t="b">
        <f t="shared" si="40"/>
        <v>1</v>
      </c>
      <c r="Z351" s="358"/>
      <c r="AA351" s="510">
        <f t="shared" si="37"/>
        <v>286</v>
      </c>
      <c r="AB351">
        <f t="shared" si="41"/>
        <v>970</v>
      </c>
      <c r="AC351">
        <f t="shared" si="36"/>
        <v>0</v>
      </c>
    </row>
    <row r="352" spans="1:29" ht="15.75">
      <c r="A352" s="141">
        <f t="shared" si="38"/>
        <v>13</v>
      </c>
      <c r="B352" s="142" t="s">
        <v>61</v>
      </c>
      <c r="C352" s="142" t="s">
        <v>96</v>
      </c>
      <c r="D352" s="143">
        <v>189.7</v>
      </c>
      <c r="E352" s="446">
        <v>0.08</v>
      </c>
      <c r="F352" s="404">
        <v>188.18</v>
      </c>
      <c r="G352" s="421">
        <v>0.03</v>
      </c>
      <c r="H352" s="548">
        <v>189.7</v>
      </c>
      <c r="I352" s="573">
        <v>0.08</v>
      </c>
      <c r="J352" s="321" t="s">
        <v>161</v>
      </c>
      <c r="K352" s="389" t="b">
        <f t="shared" si="40"/>
        <v>1</v>
      </c>
      <c r="Z352" s="358"/>
      <c r="AA352" s="510">
        <f t="shared" si="37"/>
        <v>287</v>
      </c>
      <c r="AB352">
        <f t="shared" si="41"/>
        <v>961</v>
      </c>
      <c r="AC352">
        <f t="shared" si="36"/>
        <v>0</v>
      </c>
    </row>
    <row r="353" spans="1:29" ht="15.75">
      <c r="A353" s="141">
        <f t="shared" si="38"/>
        <v>14</v>
      </c>
      <c r="B353" s="142" t="s">
        <v>62</v>
      </c>
      <c r="C353" s="142" t="s">
        <v>96</v>
      </c>
      <c r="D353" s="143">
        <v>171.16</v>
      </c>
      <c r="E353" s="144">
        <v>9.6000000000000002E-2</v>
      </c>
      <c r="F353" s="402">
        <v>169.19</v>
      </c>
      <c r="G353" s="403">
        <v>4.8000000000000001E-2</v>
      </c>
      <c r="H353" s="548">
        <v>171.46</v>
      </c>
      <c r="I353" s="573">
        <v>0.10299999999999999</v>
      </c>
      <c r="J353" s="321" t="s">
        <v>161</v>
      </c>
      <c r="K353" s="389" t="b">
        <f t="shared" si="40"/>
        <v>1</v>
      </c>
      <c r="Z353" s="358"/>
      <c r="AA353" s="510">
        <f t="shared" si="37"/>
        <v>288</v>
      </c>
      <c r="AB353">
        <f t="shared" si="41"/>
        <v>956.40300000000002</v>
      </c>
      <c r="AC353">
        <f t="shared" si="36"/>
        <v>0</v>
      </c>
    </row>
    <row r="354" spans="1:29" ht="15.75">
      <c r="A354" s="141">
        <f t="shared" si="38"/>
        <v>15</v>
      </c>
      <c r="B354" s="142" t="s">
        <v>63</v>
      </c>
      <c r="C354" s="142" t="s">
        <v>97</v>
      </c>
      <c r="D354" s="143">
        <v>142.6</v>
      </c>
      <c r="E354" s="356">
        <v>9.157</v>
      </c>
      <c r="F354" s="404">
        <v>137.94999999999999</v>
      </c>
      <c r="G354" s="409">
        <v>1.8169999999999999</v>
      </c>
      <c r="H354" s="545">
        <v>140</v>
      </c>
      <c r="I354" s="576">
        <v>2.714</v>
      </c>
      <c r="J354" s="321"/>
      <c r="K354" s="389" t="b">
        <f t="shared" si="40"/>
        <v>1</v>
      </c>
      <c r="Z354" s="358"/>
      <c r="AA354" s="510">
        <f t="shared" si="37"/>
        <v>289</v>
      </c>
      <c r="AB354">
        <f t="shared" si="41"/>
        <v>948.41600000000005</v>
      </c>
      <c r="AC354">
        <f t="shared" si="36"/>
        <v>0</v>
      </c>
    </row>
    <row r="355" spans="1:29" ht="15.75">
      <c r="A355" s="141">
        <f t="shared" si="38"/>
        <v>16</v>
      </c>
      <c r="B355" s="142" t="s">
        <v>64</v>
      </c>
      <c r="C355" s="142" t="s">
        <v>97</v>
      </c>
      <c r="D355" s="143">
        <v>239.5</v>
      </c>
      <c r="E355" s="144">
        <v>2.6720000000000002</v>
      </c>
      <c r="F355" s="404">
        <v>235.17</v>
      </c>
      <c r="G355" s="419">
        <v>0.64900000000000002</v>
      </c>
      <c r="H355" s="545">
        <v>235.86</v>
      </c>
      <c r="I355" s="576">
        <v>0.89600000000000002</v>
      </c>
      <c r="J355" s="321"/>
      <c r="K355" s="389" t="b">
        <f t="shared" si="40"/>
        <v>1</v>
      </c>
      <c r="Z355" s="358"/>
      <c r="AA355" s="510">
        <f t="shared" si="37"/>
        <v>290</v>
      </c>
      <c r="AB355">
        <f t="shared" si="41"/>
        <v>937.28499999999997</v>
      </c>
      <c r="AC355">
        <f t="shared" si="36"/>
        <v>0</v>
      </c>
    </row>
    <row r="356" spans="1:29" ht="15.75">
      <c r="A356" s="141">
        <f t="shared" si="38"/>
        <v>17</v>
      </c>
      <c r="B356" s="142" t="s">
        <v>65</v>
      </c>
      <c r="C356" s="142" t="s">
        <v>98</v>
      </c>
      <c r="D356" s="143">
        <v>120.5</v>
      </c>
      <c r="E356" s="144">
        <v>3.677</v>
      </c>
      <c r="F356" s="404">
        <v>118.93</v>
      </c>
      <c r="G356" s="421">
        <v>1.0449999999999999</v>
      </c>
      <c r="H356" s="547">
        <v>120.4</v>
      </c>
      <c r="I356" s="571">
        <v>3.488</v>
      </c>
      <c r="J356" s="321"/>
      <c r="K356" s="389" t="b">
        <f t="shared" si="40"/>
        <v>1</v>
      </c>
      <c r="Z356" s="358"/>
      <c r="AA356" s="510">
        <f t="shared" si="37"/>
        <v>291</v>
      </c>
      <c r="AB356">
        <f t="shared" si="41"/>
        <v>929.35500000000002</v>
      </c>
      <c r="AC356">
        <f t="shared" si="36"/>
        <v>0</v>
      </c>
    </row>
    <row r="357" spans="1:29" ht="15.75">
      <c r="A357" s="141">
        <f t="shared" si="38"/>
        <v>18</v>
      </c>
      <c r="B357" s="142" t="s">
        <v>66</v>
      </c>
      <c r="C357" s="142" t="s">
        <v>99</v>
      </c>
      <c r="D357" s="143">
        <v>110.56</v>
      </c>
      <c r="E357" s="144">
        <v>2.75</v>
      </c>
      <c r="F357" s="404">
        <v>107.65</v>
      </c>
      <c r="G357" s="421">
        <v>1.425</v>
      </c>
      <c r="H357" s="547">
        <v>109.51</v>
      </c>
      <c r="I357" s="571">
        <v>1.32</v>
      </c>
      <c r="J357" s="321"/>
      <c r="K357" s="389" t="b">
        <f t="shared" si="40"/>
        <v>0</v>
      </c>
      <c r="Z357" s="358"/>
      <c r="AA357" s="510">
        <f t="shared" si="37"/>
        <v>292</v>
      </c>
      <c r="AB357">
        <f t="shared" si="41"/>
        <v>919.49</v>
      </c>
      <c r="AC357">
        <f t="shared" si="36"/>
        <v>0</v>
      </c>
    </row>
    <row r="358" spans="1:29" ht="15.75">
      <c r="A358" s="141">
        <f t="shared" si="38"/>
        <v>19</v>
      </c>
      <c r="B358" s="142" t="s">
        <v>67</v>
      </c>
      <c r="C358" s="142" t="s">
        <v>100</v>
      </c>
      <c r="D358" s="143">
        <v>72</v>
      </c>
      <c r="E358" s="356">
        <v>38.036000000000001</v>
      </c>
      <c r="F358" s="402">
        <v>52.2</v>
      </c>
      <c r="G358" s="403">
        <v>5.6779999999999999</v>
      </c>
      <c r="H358" s="561">
        <v>172.24</v>
      </c>
      <c r="I358" s="570">
        <v>264.27</v>
      </c>
      <c r="J358" s="321"/>
      <c r="K358" s="389" t="b">
        <f t="shared" si="40"/>
        <v>1</v>
      </c>
      <c r="Z358" s="358"/>
      <c r="AA358" s="510">
        <f t="shared" si="37"/>
        <v>293</v>
      </c>
      <c r="AB358">
        <f t="shared" si="41"/>
        <v>913.74</v>
      </c>
      <c r="AC358">
        <f t="shared" si="36"/>
        <v>0</v>
      </c>
    </row>
    <row r="359" spans="1:29" ht="15.75">
      <c r="A359" s="141">
        <f t="shared" si="38"/>
        <v>20</v>
      </c>
      <c r="B359" s="142" t="s">
        <v>68</v>
      </c>
      <c r="C359" s="142" t="s">
        <v>100</v>
      </c>
      <c r="D359" s="143">
        <v>185</v>
      </c>
      <c r="E359" s="356">
        <v>412.66</v>
      </c>
      <c r="F359" s="402">
        <v>164</v>
      </c>
      <c r="G359" s="403">
        <v>191.77199999999999</v>
      </c>
      <c r="H359" s="545">
        <v>68.209999999999994</v>
      </c>
      <c r="I359" s="570">
        <v>29.271000000000001</v>
      </c>
      <c r="J359" s="321"/>
      <c r="K359" s="389" t="b">
        <f t="shared" si="40"/>
        <v>1</v>
      </c>
      <c r="Z359" s="358"/>
      <c r="AA359" s="510">
        <f t="shared" si="37"/>
        <v>294</v>
      </c>
      <c r="AB359">
        <f t="shared" si="41"/>
        <v>907.52</v>
      </c>
      <c r="AC359">
        <f t="shared" si="36"/>
        <v>0</v>
      </c>
    </row>
    <row r="360" spans="1:29" ht="16.5" thickBot="1">
      <c r="A360" s="150">
        <v>38</v>
      </c>
      <c r="B360" s="151" t="s">
        <v>69</v>
      </c>
      <c r="C360" s="151" t="s">
        <v>101</v>
      </c>
      <c r="D360" s="152">
        <v>231</v>
      </c>
      <c r="E360" s="357">
        <v>31.8</v>
      </c>
      <c r="F360" s="410">
        <v>230.65</v>
      </c>
      <c r="G360" s="411">
        <v>22.28</v>
      </c>
      <c r="H360" s="562">
        <v>230.1</v>
      </c>
      <c r="I360" s="596">
        <v>18.350000000000001</v>
      </c>
      <c r="J360" s="321"/>
      <c r="K360" s="389" t="b">
        <f t="shared" si="40"/>
        <v>1</v>
      </c>
      <c r="Z360" s="358"/>
      <c r="AA360" s="510">
        <f t="shared" si="37"/>
        <v>295</v>
      </c>
      <c r="AB360">
        <f t="shared" si="41"/>
        <v>905.16700000000003</v>
      </c>
      <c r="AC360">
        <f t="shared" si="36"/>
        <v>0</v>
      </c>
    </row>
    <row r="361" spans="1:29" ht="16.5" thickBot="1">
      <c r="A361" s="154"/>
      <c r="B361" s="155" t="s">
        <v>70</v>
      </c>
      <c r="C361" s="155"/>
      <c r="D361" s="156"/>
      <c r="E361" s="157">
        <f>SUM(E323:E360)</f>
        <v>1860.202</v>
      </c>
      <c r="F361" s="412"/>
      <c r="G361" s="374">
        <f>SUM(G323:G360)</f>
        <v>868.94399999999996</v>
      </c>
      <c r="H361" s="553"/>
      <c r="I361" s="470">
        <f>SUM(I323:I360)</f>
        <v>990.50900000000001</v>
      </c>
      <c r="J361" s="158">
        <f>+I361-G361</f>
        <v>121.56500000000005</v>
      </c>
      <c r="K361" s="390"/>
      <c r="Z361" s="358"/>
      <c r="AA361" s="510">
        <f t="shared" si="37"/>
        <v>296</v>
      </c>
      <c r="AB361">
        <f t="shared" si="41"/>
        <v>897.827</v>
      </c>
      <c r="AC361">
        <f t="shared" si="36"/>
        <v>0</v>
      </c>
    </row>
    <row r="362" spans="1:29" ht="16.5" thickBot="1">
      <c r="A362" s="159" t="s">
        <v>71</v>
      </c>
      <c r="B362" s="155" t="s">
        <v>72</v>
      </c>
      <c r="C362" s="155"/>
      <c r="D362" s="156"/>
      <c r="E362" s="157"/>
      <c r="F362" s="427"/>
      <c r="G362" s="428">
        <v>1</v>
      </c>
      <c r="H362" s="553"/>
      <c r="I362" s="471">
        <f>+I361/G361</f>
        <v>1.1398996943416377</v>
      </c>
      <c r="J362" s="160">
        <f>+I362-G362</f>
        <v>0.13989969434163774</v>
      </c>
      <c r="K362" s="390"/>
      <c r="Z362" s="358"/>
      <c r="AA362" s="510">
        <f t="shared" si="37"/>
        <v>297</v>
      </c>
      <c r="AB362">
        <f t="shared" si="41"/>
        <v>893.279</v>
      </c>
      <c r="AC362">
        <f t="shared" si="36"/>
        <v>0</v>
      </c>
    </row>
    <row r="363" spans="1:29" ht="16.5" thickBot="1">
      <c r="A363" s="200"/>
      <c r="B363" s="199"/>
      <c r="C363" s="198"/>
      <c r="D363" s="162"/>
      <c r="E363" s="163">
        <v>1</v>
      </c>
      <c r="F363" s="429" t="s">
        <v>71</v>
      </c>
      <c r="G363" s="375">
        <f>+G361/E361*100%</f>
        <v>0.46712346293574569</v>
      </c>
      <c r="H363" s="484"/>
      <c r="I363" s="472">
        <f>+I361/E361</f>
        <v>0.53247389262026379</v>
      </c>
      <c r="J363" s="160">
        <f>+I363-E363</f>
        <v>-0.46752610737973621</v>
      </c>
      <c r="K363" s="390"/>
      <c r="Z363" s="358"/>
      <c r="AA363" s="510">
        <f t="shared" si="37"/>
        <v>298</v>
      </c>
      <c r="AB363">
        <f t="shared" si="41"/>
        <v>887.87400000000002</v>
      </c>
      <c r="AC363">
        <f t="shared" si="36"/>
        <v>0</v>
      </c>
    </row>
    <row r="364" spans="1:29" ht="15.75">
      <c r="A364" s="161"/>
      <c r="B364" s="162"/>
      <c r="C364" s="162"/>
      <c r="D364" s="162"/>
      <c r="E364" s="162"/>
      <c r="F364" s="377"/>
      <c r="G364" s="429"/>
      <c r="H364" s="484"/>
      <c r="I364" s="473"/>
      <c r="J364" s="165"/>
      <c r="Z364" s="358"/>
      <c r="AA364" s="510">
        <f t="shared" si="37"/>
        <v>299</v>
      </c>
      <c r="AB364">
        <f t="shared" si="41"/>
        <v>882.18100000000004</v>
      </c>
      <c r="AC364">
        <f t="shared" si="36"/>
        <v>0</v>
      </c>
    </row>
    <row r="365" spans="1:29" ht="15.75">
      <c r="A365" s="161"/>
      <c r="B365" s="162"/>
      <c r="C365" s="162"/>
      <c r="D365" s="162"/>
      <c r="E365" s="164">
        <f>+F366/E361*100</f>
        <v>0.2684117101261046</v>
      </c>
      <c r="F365" s="377"/>
      <c r="G365" s="429"/>
      <c r="H365" s="484"/>
      <c r="I365" s="473"/>
      <c r="Z365" s="358"/>
      <c r="AA365" s="510">
        <f t="shared" si="37"/>
        <v>300</v>
      </c>
      <c r="AB365">
        <f t="shared" si="41"/>
        <v>875.21</v>
      </c>
      <c r="AC365">
        <f t="shared" si="36"/>
        <v>0</v>
      </c>
    </row>
    <row r="366" spans="1:29" ht="15.75">
      <c r="A366" s="162"/>
      <c r="B366" s="162"/>
      <c r="C366" s="162"/>
      <c r="D366" s="162"/>
      <c r="E366" s="162"/>
      <c r="F366" s="430">
        <f>+G353+G352+G351+G350+G349+G348+G346+G345+G344+G343+G342+G340+G337+G331+G330</f>
        <v>4.9930000000000003</v>
      </c>
      <c r="G366" s="429">
        <f>+G364/G361*100</f>
        <v>0</v>
      </c>
      <c r="H366" s="484" t="s">
        <v>71</v>
      </c>
      <c r="I366" s="473" t="s">
        <v>71</v>
      </c>
      <c r="Z366" s="358"/>
      <c r="AA366" s="510">
        <f t="shared" si="37"/>
        <v>301</v>
      </c>
      <c r="AB366">
        <f t="shared" si="41"/>
        <v>874.971</v>
      </c>
      <c r="AC366">
        <f t="shared" si="36"/>
        <v>0</v>
      </c>
    </row>
    <row r="367" spans="1:29" ht="15.75">
      <c r="A367" s="176"/>
      <c r="B367" s="176"/>
      <c r="C367" s="201"/>
      <c r="D367" s="176"/>
      <c r="E367" s="176"/>
      <c r="F367" s="431"/>
      <c r="G367" s="432"/>
      <c r="H367" s="554"/>
      <c r="I367" s="474"/>
      <c r="Z367" s="358"/>
      <c r="AA367" s="510">
        <f t="shared" si="37"/>
        <v>302</v>
      </c>
      <c r="AB367">
        <f t="shared" si="41"/>
        <v>885.005</v>
      </c>
      <c r="AC367">
        <f t="shared" si="36"/>
        <v>0</v>
      </c>
    </row>
    <row r="368" spans="1:29" ht="21.75">
      <c r="A368" s="237"/>
      <c r="B368" s="236"/>
      <c r="C368" s="236"/>
      <c r="D368" s="236"/>
      <c r="E368" s="236"/>
      <c r="F368" s="376"/>
      <c r="G368" s="376"/>
      <c r="H368" s="475"/>
      <c r="I368" s="475"/>
      <c r="Z368" s="358"/>
      <c r="AA368" s="510">
        <f t="shared" si="37"/>
        <v>303</v>
      </c>
      <c r="AB368">
        <f t="shared" si="41"/>
        <v>877.85400000000004</v>
      </c>
      <c r="AC368">
        <f t="shared" si="36"/>
        <v>0</v>
      </c>
    </row>
    <row r="369" spans="6:29">
      <c r="F369" s="377"/>
      <c r="G369" s="377"/>
      <c r="H369" s="484"/>
      <c r="I369" s="484"/>
      <c r="Z369" s="358"/>
      <c r="AA369" s="510">
        <f t="shared" si="37"/>
        <v>304</v>
      </c>
      <c r="AB369">
        <f t="shared" si="41"/>
        <v>886.02</v>
      </c>
      <c r="AC369">
        <f t="shared" si="36"/>
        <v>0</v>
      </c>
    </row>
    <row r="370" spans="6:29">
      <c r="F370" s="377"/>
      <c r="G370" s="377"/>
      <c r="H370" s="484"/>
      <c r="I370" s="484"/>
      <c r="Z370" s="358"/>
      <c r="AA370" s="510">
        <f t="shared" si="37"/>
        <v>305</v>
      </c>
      <c r="AB370">
        <f t="shared" ref="AB370:AB399" si="42">IF(W7="tad","tad",W7)</f>
        <v>865.47900000000004</v>
      </c>
      <c r="AC370">
        <f t="shared" si="36"/>
        <v>0</v>
      </c>
    </row>
    <row r="371" spans="6:29">
      <c r="F371" s="377"/>
      <c r="G371" s="377"/>
      <c r="H371" s="484"/>
      <c r="I371" s="484"/>
      <c r="Z371" s="358"/>
      <c r="AA371" s="510">
        <f t="shared" si="37"/>
        <v>306</v>
      </c>
      <c r="AB371">
        <f t="shared" si="42"/>
        <v>858.67100000000005</v>
      </c>
      <c r="AC371">
        <f t="shared" si="36"/>
        <v>0</v>
      </c>
    </row>
    <row r="372" spans="6:29">
      <c r="F372" s="377"/>
      <c r="G372" s="377"/>
      <c r="H372" s="484"/>
      <c r="I372" s="484"/>
      <c r="Z372" s="358"/>
      <c r="AA372" s="510">
        <f t="shared" si="37"/>
        <v>307</v>
      </c>
      <c r="AB372">
        <f t="shared" si="42"/>
        <v>849.43399999999997</v>
      </c>
      <c r="AC372">
        <f t="shared" si="36"/>
        <v>0</v>
      </c>
    </row>
    <row r="373" spans="6:29">
      <c r="F373" s="377"/>
      <c r="G373" s="377"/>
      <c r="H373" s="484"/>
      <c r="I373" s="484"/>
      <c r="Z373" s="358"/>
      <c r="AA373" s="510">
        <f t="shared" si="37"/>
        <v>308</v>
      </c>
      <c r="AB373">
        <f t="shared" si="42"/>
        <v>839.24699999999996</v>
      </c>
      <c r="AC373">
        <f t="shared" si="36"/>
        <v>0</v>
      </c>
    </row>
    <row r="374" spans="6:29">
      <c r="F374" s="377"/>
      <c r="G374" s="377"/>
      <c r="H374" s="484"/>
      <c r="I374" s="484"/>
      <c r="Z374" s="358"/>
      <c r="AA374" s="510">
        <f t="shared" si="37"/>
        <v>309</v>
      </c>
      <c r="AB374">
        <f t="shared" si="42"/>
        <v>833.35</v>
      </c>
      <c r="AC374">
        <f t="shared" si="36"/>
        <v>0</v>
      </c>
    </row>
    <row r="375" spans="6:29">
      <c r="F375" s="377"/>
      <c r="G375" s="377"/>
      <c r="H375" s="484"/>
      <c r="I375" s="484"/>
      <c r="Z375" s="358"/>
      <c r="AA375" s="510">
        <f t="shared" si="37"/>
        <v>310</v>
      </c>
      <c r="AB375">
        <f t="shared" si="42"/>
        <v>823.41</v>
      </c>
      <c r="AC375">
        <f t="shared" si="36"/>
        <v>0</v>
      </c>
    </row>
    <row r="376" spans="6:29">
      <c r="F376" s="377"/>
      <c r="G376" s="377"/>
      <c r="H376" s="484"/>
      <c r="I376" s="484"/>
      <c r="Z376" s="358"/>
      <c r="AA376" s="510">
        <f t="shared" si="37"/>
        <v>311</v>
      </c>
      <c r="AB376">
        <f t="shared" si="42"/>
        <v>824.83</v>
      </c>
      <c r="AC376">
        <f t="shared" si="36"/>
        <v>0</v>
      </c>
    </row>
    <row r="377" spans="6:29">
      <c r="F377" s="377"/>
      <c r="G377" s="377"/>
      <c r="H377" s="377"/>
      <c r="I377" s="484"/>
      <c r="Z377" s="358"/>
      <c r="AA377" s="510">
        <f t="shared" si="37"/>
        <v>312</v>
      </c>
      <c r="AB377">
        <f t="shared" si="42"/>
        <v>823.99699999999996</v>
      </c>
      <c r="AC377">
        <f t="shared" si="36"/>
        <v>0</v>
      </c>
    </row>
    <row r="378" spans="6:29">
      <c r="F378" s="377"/>
      <c r="G378" s="377"/>
      <c r="H378" s="377"/>
      <c r="I378" s="484"/>
      <c r="Z378" s="358"/>
      <c r="AA378" s="510">
        <f t="shared" si="37"/>
        <v>313</v>
      </c>
      <c r="AB378">
        <f t="shared" si="42"/>
        <v>809.72199999999998</v>
      </c>
      <c r="AC378">
        <f t="shared" si="36"/>
        <v>0</v>
      </c>
    </row>
    <row r="379" spans="6:29">
      <c r="F379" s="377"/>
      <c r="G379" s="377"/>
      <c r="H379" s="377"/>
      <c r="I379" s="484"/>
      <c r="Z379" s="358"/>
      <c r="AA379" s="510">
        <f t="shared" si="37"/>
        <v>314</v>
      </c>
      <c r="AB379">
        <f t="shared" si="42"/>
        <v>814.94399999999996</v>
      </c>
      <c r="AC379">
        <f t="shared" si="36"/>
        <v>0</v>
      </c>
    </row>
    <row r="380" spans="6:29">
      <c r="F380" s="377"/>
      <c r="G380" s="377"/>
      <c r="H380" s="377"/>
      <c r="I380" s="484"/>
      <c r="Z380" s="358"/>
      <c r="AA380" s="510">
        <f t="shared" si="37"/>
        <v>315</v>
      </c>
      <c r="AB380">
        <f t="shared" si="42"/>
        <v>808.94</v>
      </c>
      <c r="AC380">
        <f t="shared" si="36"/>
        <v>0</v>
      </c>
    </row>
    <row r="381" spans="6:29">
      <c r="F381" s="377"/>
      <c r="G381" s="377"/>
      <c r="H381" s="377"/>
      <c r="I381" s="484"/>
      <c r="Z381" s="358"/>
      <c r="AA381" s="510">
        <f t="shared" si="37"/>
        <v>316</v>
      </c>
      <c r="AB381">
        <f t="shared" si="42"/>
        <v>795.33600000000001</v>
      </c>
      <c r="AC381">
        <f t="shared" si="36"/>
        <v>0</v>
      </c>
    </row>
    <row r="382" spans="6:29">
      <c r="F382" s="377"/>
      <c r="G382" s="377"/>
      <c r="H382" s="377"/>
      <c r="I382" s="484"/>
      <c r="Z382" s="358"/>
      <c r="AA382" s="510">
        <f t="shared" si="37"/>
        <v>317</v>
      </c>
      <c r="AB382">
        <f t="shared" si="42"/>
        <v>794.52300000000002</v>
      </c>
      <c r="AC382">
        <f t="shared" si="36"/>
        <v>0</v>
      </c>
    </row>
    <row r="383" spans="6:29">
      <c r="F383" s="377"/>
      <c r="G383" s="377"/>
      <c r="H383" s="377"/>
      <c r="I383" s="484"/>
      <c r="Z383" s="358"/>
      <c r="AA383" s="510">
        <f t="shared" si="37"/>
        <v>318</v>
      </c>
      <c r="AB383">
        <f t="shared" si="42"/>
        <v>794.86800000000005</v>
      </c>
      <c r="AC383">
        <f t="shared" si="36"/>
        <v>0</v>
      </c>
    </row>
    <row r="384" spans="6:29">
      <c r="F384" s="377"/>
      <c r="G384" s="377"/>
      <c r="H384" s="377"/>
      <c r="I384" s="484"/>
      <c r="Z384" s="358"/>
      <c r="AA384" s="510">
        <f t="shared" si="37"/>
        <v>319</v>
      </c>
      <c r="AB384">
        <f t="shared" si="42"/>
        <v>800.08199999999999</v>
      </c>
      <c r="AC384">
        <f t="shared" si="36"/>
        <v>0</v>
      </c>
    </row>
    <row r="385" spans="6:29">
      <c r="F385" s="377"/>
      <c r="G385" s="377"/>
      <c r="H385" s="377"/>
      <c r="I385" s="484"/>
      <c r="Z385" s="358"/>
      <c r="AA385" s="510">
        <f t="shared" si="37"/>
        <v>320</v>
      </c>
      <c r="AB385">
        <f t="shared" si="42"/>
        <v>802.29100000000005</v>
      </c>
      <c r="AC385">
        <f t="shared" si="36"/>
        <v>0</v>
      </c>
    </row>
    <row r="386" spans="6:29">
      <c r="F386" s="377"/>
      <c r="G386" s="377"/>
      <c r="H386" s="377"/>
      <c r="I386" s="484"/>
      <c r="AA386" s="510">
        <f t="shared" si="37"/>
        <v>321</v>
      </c>
      <c r="AB386">
        <f t="shared" si="42"/>
        <v>805.74699999999996</v>
      </c>
      <c r="AC386">
        <f t="shared" ref="AC386:AC430" si="43">IF(COUNT(AA386:AB386)=2,0,-Z$49/500)</f>
        <v>0</v>
      </c>
    </row>
    <row r="387" spans="6:29">
      <c r="F387" s="377"/>
      <c r="G387" s="377"/>
      <c r="H387" s="377"/>
      <c r="I387" s="484"/>
      <c r="AA387" s="510">
        <f t="shared" ref="AA387:AA430" si="44">AA386+1</f>
        <v>322</v>
      </c>
      <c r="AB387">
        <f t="shared" si="42"/>
        <v>811.31200000000001</v>
      </c>
      <c r="AC387">
        <f t="shared" si="43"/>
        <v>0</v>
      </c>
    </row>
    <row r="388" spans="6:29">
      <c r="F388" s="377"/>
      <c r="G388" s="377"/>
      <c r="H388" s="377"/>
      <c r="I388" s="484"/>
      <c r="AA388" s="510">
        <f t="shared" si="44"/>
        <v>323</v>
      </c>
      <c r="AB388">
        <f t="shared" si="42"/>
        <v>815.78399999999999</v>
      </c>
      <c r="AC388">
        <f t="shared" si="43"/>
        <v>0</v>
      </c>
    </row>
    <row r="389" spans="6:29">
      <c r="F389" s="377"/>
      <c r="G389" s="377"/>
      <c r="H389" s="377"/>
      <c r="I389" s="377"/>
      <c r="AA389" s="510">
        <f t="shared" si="44"/>
        <v>324</v>
      </c>
      <c r="AB389">
        <f t="shared" si="42"/>
        <v>813.851</v>
      </c>
      <c r="AC389">
        <f t="shared" si="43"/>
        <v>0</v>
      </c>
    </row>
    <row r="390" spans="6:29">
      <c r="F390" s="377"/>
      <c r="G390" s="377"/>
      <c r="H390" s="377"/>
      <c r="I390" s="377"/>
      <c r="AA390" s="510">
        <f t="shared" si="44"/>
        <v>325</v>
      </c>
      <c r="AB390">
        <f t="shared" si="42"/>
        <v>814</v>
      </c>
      <c r="AC390">
        <f t="shared" si="43"/>
        <v>0</v>
      </c>
    </row>
    <row r="391" spans="6:29">
      <c r="F391" s="377"/>
      <c r="G391" s="377"/>
      <c r="H391" s="377"/>
      <c r="I391" s="377"/>
      <c r="AA391" s="510">
        <f t="shared" si="44"/>
        <v>326</v>
      </c>
      <c r="AB391">
        <f t="shared" si="42"/>
        <v>813.42700000000002</v>
      </c>
      <c r="AC391">
        <f t="shared" si="43"/>
        <v>0</v>
      </c>
    </row>
    <row r="392" spans="6:29">
      <c r="F392" s="377"/>
      <c r="G392" s="377"/>
      <c r="H392" s="377"/>
      <c r="I392" s="377"/>
      <c r="AA392" s="510">
        <f t="shared" si="44"/>
        <v>327</v>
      </c>
      <c r="AB392">
        <f t="shared" si="42"/>
        <v>807.8</v>
      </c>
      <c r="AC392">
        <f t="shared" si="43"/>
        <v>0</v>
      </c>
    </row>
    <row r="393" spans="6:29">
      <c r="F393" s="377"/>
      <c r="G393" s="377"/>
      <c r="H393" s="377"/>
      <c r="I393" s="377"/>
      <c r="AA393" s="510">
        <f t="shared" si="44"/>
        <v>328</v>
      </c>
      <c r="AB393">
        <f t="shared" si="42"/>
        <v>799.81299999999999</v>
      </c>
      <c r="AC393">
        <f t="shared" si="43"/>
        <v>0</v>
      </c>
    </row>
    <row r="394" spans="6:29">
      <c r="F394" s="377"/>
      <c r="G394" s="377"/>
      <c r="H394" s="377"/>
      <c r="I394" s="377"/>
      <c r="AA394" s="510">
        <f t="shared" si="44"/>
        <v>329</v>
      </c>
      <c r="AB394">
        <f t="shared" si="42"/>
        <v>793.18100000000004</v>
      </c>
      <c r="AC394">
        <f t="shared" si="43"/>
        <v>0</v>
      </c>
    </row>
    <row r="395" spans="6:29">
      <c r="F395" s="377"/>
      <c r="G395" s="377"/>
      <c r="H395" s="377"/>
      <c r="I395" s="377"/>
      <c r="AA395" s="510">
        <f t="shared" si="44"/>
        <v>330</v>
      </c>
      <c r="AB395">
        <f t="shared" si="42"/>
        <v>784</v>
      </c>
      <c r="AC395">
        <f t="shared" si="43"/>
        <v>0</v>
      </c>
    </row>
    <row r="396" spans="6:29">
      <c r="F396" s="377"/>
      <c r="G396" s="377"/>
      <c r="H396" s="377"/>
      <c r="I396" s="377"/>
      <c r="AA396" s="510">
        <f t="shared" si="44"/>
        <v>331</v>
      </c>
      <c r="AB396">
        <f t="shared" si="42"/>
        <v>779</v>
      </c>
      <c r="AC396">
        <f t="shared" si="43"/>
        <v>0</v>
      </c>
    </row>
    <row r="397" spans="6:29">
      <c r="F397" s="377"/>
      <c r="G397" s="377"/>
      <c r="H397" s="377"/>
      <c r="I397" s="377"/>
      <c r="AA397" s="510">
        <f t="shared" si="44"/>
        <v>332</v>
      </c>
      <c r="AB397">
        <f t="shared" si="42"/>
        <v>779</v>
      </c>
      <c r="AC397">
        <f t="shared" si="43"/>
        <v>0</v>
      </c>
    </row>
    <row r="398" spans="6:29">
      <c r="F398" s="377"/>
      <c r="G398" s="377"/>
      <c r="H398" s="377"/>
      <c r="I398" s="377"/>
      <c r="AA398" s="510">
        <f t="shared" si="44"/>
        <v>333</v>
      </c>
      <c r="AB398">
        <f t="shared" si="42"/>
        <v>772</v>
      </c>
      <c r="AC398">
        <f t="shared" si="43"/>
        <v>0</v>
      </c>
    </row>
    <row r="399" spans="6:29">
      <c r="F399" s="377"/>
      <c r="G399" s="377"/>
      <c r="H399" s="377"/>
      <c r="I399" s="377"/>
      <c r="AA399" s="510">
        <f t="shared" si="44"/>
        <v>334</v>
      </c>
      <c r="AB399">
        <f t="shared" si="42"/>
        <v>764</v>
      </c>
      <c r="AC399">
        <f t="shared" si="43"/>
        <v>0</v>
      </c>
    </row>
    <row r="400" spans="6:29">
      <c r="F400" s="377"/>
      <c r="G400" s="377"/>
      <c r="H400" s="377"/>
      <c r="I400" s="377"/>
      <c r="AA400" s="510">
        <f t="shared" si="44"/>
        <v>335</v>
      </c>
      <c r="AB400">
        <f t="shared" ref="AB400:AB430" si="45">IF(X7="tad","tad",X7)</f>
        <v>749</v>
      </c>
      <c r="AC400">
        <f t="shared" si="43"/>
        <v>0</v>
      </c>
    </row>
    <row r="401" spans="6:29">
      <c r="F401" s="377"/>
      <c r="G401" s="377"/>
      <c r="H401" s="377"/>
      <c r="I401" s="377"/>
      <c r="AA401" s="510">
        <f t="shared" si="44"/>
        <v>336</v>
      </c>
      <c r="AB401">
        <f t="shared" si="45"/>
        <v>747</v>
      </c>
      <c r="AC401">
        <f t="shared" si="43"/>
        <v>0</v>
      </c>
    </row>
    <row r="402" spans="6:29">
      <c r="F402" s="377"/>
      <c r="G402" s="377"/>
      <c r="H402" s="377"/>
      <c r="I402" s="377"/>
      <c r="AA402" s="510">
        <f t="shared" si="44"/>
        <v>337</v>
      </c>
      <c r="AB402">
        <f t="shared" si="45"/>
        <v>759.58</v>
      </c>
      <c r="AC402">
        <f t="shared" si="43"/>
        <v>0</v>
      </c>
    </row>
    <row r="403" spans="6:29">
      <c r="F403" s="377"/>
      <c r="G403" s="377"/>
      <c r="H403" s="377"/>
      <c r="I403" s="377"/>
      <c r="AA403" s="510">
        <f t="shared" si="44"/>
        <v>338</v>
      </c>
      <c r="AB403">
        <f t="shared" si="45"/>
        <v>755.8</v>
      </c>
      <c r="AC403">
        <f t="shared" si="43"/>
        <v>0</v>
      </c>
    </row>
    <row r="404" spans="6:29">
      <c r="F404" s="377"/>
      <c r="G404" s="377"/>
      <c r="H404" s="377"/>
      <c r="I404" s="377"/>
      <c r="AA404" s="510">
        <f t="shared" si="44"/>
        <v>339</v>
      </c>
      <c r="AB404">
        <f t="shared" si="45"/>
        <v>749.93</v>
      </c>
      <c r="AC404">
        <f t="shared" si="43"/>
        <v>0</v>
      </c>
    </row>
    <row r="405" spans="6:29">
      <c r="F405" s="377"/>
      <c r="G405" s="377"/>
      <c r="H405" s="377"/>
      <c r="I405" s="377"/>
      <c r="AA405" s="510">
        <f t="shared" si="44"/>
        <v>340</v>
      </c>
      <c r="AB405">
        <f t="shared" si="45"/>
        <v>747.34</v>
      </c>
      <c r="AC405">
        <f t="shared" si="43"/>
        <v>0</v>
      </c>
    </row>
    <row r="406" spans="6:29">
      <c r="F406" s="377"/>
      <c r="G406" s="377"/>
      <c r="H406" s="377"/>
      <c r="I406" s="377"/>
      <c r="AA406" s="510">
        <f t="shared" si="44"/>
        <v>341</v>
      </c>
      <c r="AB406">
        <f t="shared" si="45"/>
        <v>742.31700000000001</v>
      </c>
      <c r="AC406">
        <f t="shared" si="43"/>
        <v>0</v>
      </c>
    </row>
    <row r="407" spans="6:29">
      <c r="F407" s="377"/>
      <c r="G407" s="377"/>
      <c r="H407" s="377"/>
      <c r="I407" s="377"/>
      <c r="AA407" s="510">
        <f t="shared" si="44"/>
        <v>342</v>
      </c>
      <c r="AB407">
        <f t="shared" si="45"/>
        <v>741.89599999999996</v>
      </c>
      <c r="AC407">
        <f t="shared" si="43"/>
        <v>0</v>
      </c>
    </row>
    <row r="408" spans="6:29">
      <c r="F408" s="377"/>
      <c r="G408" s="377"/>
      <c r="H408" s="377"/>
      <c r="I408" s="377"/>
      <c r="AA408" s="510">
        <f t="shared" si="44"/>
        <v>343</v>
      </c>
      <c r="AB408">
        <f t="shared" si="45"/>
        <v>746.67700000000002</v>
      </c>
      <c r="AC408">
        <f t="shared" si="43"/>
        <v>0</v>
      </c>
    </row>
    <row r="409" spans="6:29">
      <c r="F409" s="377"/>
      <c r="G409" s="377"/>
      <c r="H409" s="377"/>
      <c r="I409" s="377"/>
      <c r="AA409" s="510">
        <f t="shared" si="44"/>
        <v>344</v>
      </c>
      <c r="AB409">
        <f t="shared" si="45"/>
        <v>747.23800000000006</v>
      </c>
      <c r="AC409">
        <f t="shared" si="43"/>
        <v>0</v>
      </c>
    </row>
    <row r="410" spans="6:29">
      <c r="F410" s="377"/>
      <c r="G410" s="377"/>
      <c r="H410" s="377"/>
      <c r="I410" s="377"/>
      <c r="AA410" s="510">
        <f t="shared" si="44"/>
        <v>345</v>
      </c>
      <c r="AB410">
        <f t="shared" si="45"/>
        <v>749.88599999999997</v>
      </c>
      <c r="AC410">
        <f t="shared" si="43"/>
        <v>0</v>
      </c>
    </row>
    <row r="411" spans="6:29">
      <c r="F411" s="377"/>
      <c r="G411" s="377"/>
      <c r="H411" s="377"/>
      <c r="I411" s="377"/>
      <c r="AA411" s="510">
        <f t="shared" si="44"/>
        <v>346</v>
      </c>
      <c r="AB411">
        <f t="shared" si="45"/>
        <v>755.173</v>
      </c>
      <c r="AC411">
        <f t="shared" si="43"/>
        <v>0</v>
      </c>
    </row>
    <row r="412" spans="6:29">
      <c r="F412" s="377"/>
      <c r="G412" s="377"/>
      <c r="H412" s="377"/>
      <c r="I412" s="377"/>
      <c r="AA412" s="510">
        <f t="shared" si="44"/>
        <v>347</v>
      </c>
      <c r="AB412">
        <f t="shared" si="45"/>
        <v>762.75099999999998</v>
      </c>
      <c r="AC412">
        <f t="shared" si="43"/>
        <v>0</v>
      </c>
    </row>
    <row r="413" spans="6:29">
      <c r="F413" s="377"/>
      <c r="G413" s="377"/>
      <c r="H413" s="377"/>
      <c r="I413" s="377"/>
      <c r="AA413" s="510">
        <f t="shared" si="44"/>
        <v>348</v>
      </c>
      <c r="AB413">
        <f t="shared" si="45"/>
        <v>781.54200000000003</v>
      </c>
      <c r="AC413">
        <f t="shared" si="43"/>
        <v>0</v>
      </c>
    </row>
    <row r="414" spans="6:29">
      <c r="F414" s="377"/>
      <c r="G414" s="377"/>
      <c r="H414" s="377"/>
      <c r="I414" s="377"/>
      <c r="AA414" s="510">
        <f t="shared" si="44"/>
        <v>349</v>
      </c>
      <c r="AB414">
        <f t="shared" si="45"/>
        <v>792.23900000000003</v>
      </c>
      <c r="AC414">
        <f t="shared" si="43"/>
        <v>0</v>
      </c>
    </row>
    <row r="415" spans="6:29">
      <c r="F415" s="377"/>
      <c r="G415" s="377"/>
      <c r="H415" s="377"/>
      <c r="I415" s="377"/>
      <c r="AA415" s="510">
        <f t="shared" si="44"/>
        <v>350</v>
      </c>
      <c r="AB415">
        <f t="shared" si="45"/>
        <v>804.75699999999995</v>
      </c>
      <c r="AC415">
        <f t="shared" si="43"/>
        <v>0</v>
      </c>
    </row>
    <row r="416" spans="6:29">
      <c r="F416" s="377"/>
      <c r="G416" s="377"/>
      <c r="H416" s="377"/>
      <c r="I416" s="377"/>
      <c r="AA416" s="510">
        <f t="shared" si="44"/>
        <v>351</v>
      </c>
      <c r="AB416">
        <f t="shared" si="45"/>
        <v>827.96600000000001</v>
      </c>
      <c r="AC416">
        <f t="shared" si="43"/>
        <v>0</v>
      </c>
    </row>
    <row r="417" spans="6:29">
      <c r="F417" s="377"/>
      <c r="G417" s="377"/>
      <c r="H417" s="377"/>
      <c r="I417" s="377"/>
      <c r="AA417" s="510">
        <f t="shared" si="44"/>
        <v>352</v>
      </c>
      <c r="AB417">
        <f t="shared" si="45"/>
        <v>839.05700000000002</v>
      </c>
      <c r="AC417">
        <f t="shared" si="43"/>
        <v>0</v>
      </c>
    </row>
    <row r="418" spans="6:29">
      <c r="F418" s="377"/>
      <c r="G418" s="377"/>
      <c r="H418" s="377"/>
      <c r="I418" s="377"/>
      <c r="AA418" s="510">
        <f t="shared" si="44"/>
        <v>353</v>
      </c>
      <c r="AB418">
        <f t="shared" si="45"/>
        <v>851.6</v>
      </c>
      <c r="AC418">
        <f t="shared" si="43"/>
        <v>0</v>
      </c>
    </row>
    <row r="419" spans="6:29">
      <c r="F419" s="377"/>
      <c r="G419" s="377"/>
      <c r="H419" s="377"/>
      <c r="I419" s="377"/>
      <c r="AA419" s="510">
        <f t="shared" si="44"/>
        <v>354</v>
      </c>
      <c r="AB419">
        <f t="shared" si="45"/>
        <v>861.9</v>
      </c>
      <c r="AC419">
        <f t="shared" si="43"/>
        <v>0</v>
      </c>
    </row>
    <row r="420" spans="6:29">
      <c r="F420" s="377"/>
      <c r="G420" s="377"/>
      <c r="H420" s="377"/>
      <c r="I420" s="377"/>
      <c r="AA420" s="510">
        <f t="shared" si="44"/>
        <v>355</v>
      </c>
      <c r="AB420">
        <f t="shared" si="45"/>
        <v>903.82</v>
      </c>
      <c r="AC420">
        <f t="shared" si="43"/>
        <v>0</v>
      </c>
    </row>
    <row r="421" spans="6:29">
      <c r="F421" s="377"/>
      <c r="G421" s="377"/>
      <c r="H421" s="377"/>
      <c r="I421" s="377"/>
      <c r="AA421" s="510">
        <f t="shared" si="44"/>
        <v>356</v>
      </c>
      <c r="AB421">
        <f t="shared" si="45"/>
        <v>917.47900000000004</v>
      </c>
      <c r="AC421">
        <f t="shared" si="43"/>
        <v>0</v>
      </c>
    </row>
    <row r="422" spans="6:29">
      <c r="F422" s="377"/>
      <c r="G422" s="377"/>
      <c r="H422" s="377"/>
      <c r="I422" s="377"/>
      <c r="AA422" s="510">
        <f t="shared" si="44"/>
        <v>357</v>
      </c>
      <c r="AB422">
        <f t="shared" si="45"/>
        <v>955.08600000000001</v>
      </c>
      <c r="AC422">
        <f t="shared" si="43"/>
        <v>0</v>
      </c>
    </row>
    <row r="423" spans="6:29">
      <c r="I423" s="377"/>
      <c r="AA423" s="510">
        <f t="shared" si="44"/>
        <v>358</v>
      </c>
      <c r="AB423">
        <f t="shared" si="45"/>
        <v>990.5</v>
      </c>
      <c r="AC423">
        <f t="shared" si="43"/>
        <v>0</v>
      </c>
    </row>
    <row r="424" spans="6:29">
      <c r="I424" s="377"/>
      <c r="AA424" s="510">
        <f t="shared" si="44"/>
        <v>359</v>
      </c>
      <c r="AB424">
        <f t="shared" si="45"/>
        <v>1009.186</v>
      </c>
      <c r="AC424">
        <f t="shared" si="43"/>
        <v>0</v>
      </c>
    </row>
    <row r="425" spans="6:29">
      <c r="I425" s="377"/>
      <c r="AA425" s="510">
        <f t="shared" si="44"/>
        <v>360</v>
      </c>
      <c r="AB425">
        <f t="shared" si="45"/>
        <v>1025.48</v>
      </c>
      <c r="AC425">
        <f t="shared" si="43"/>
        <v>0</v>
      </c>
    </row>
    <row r="426" spans="6:29">
      <c r="I426" s="377"/>
      <c r="AA426" s="510">
        <f t="shared" si="44"/>
        <v>361</v>
      </c>
      <c r="AB426">
        <f t="shared" si="45"/>
        <v>1030.154</v>
      </c>
      <c r="AC426">
        <f t="shared" si="43"/>
        <v>0</v>
      </c>
    </row>
    <row r="427" spans="6:29">
      <c r="I427" s="377"/>
      <c r="AA427" s="510">
        <f t="shared" si="44"/>
        <v>362</v>
      </c>
      <c r="AB427">
        <f t="shared" si="45"/>
        <v>1030.2539999999999</v>
      </c>
      <c r="AC427">
        <f t="shared" si="43"/>
        <v>0</v>
      </c>
    </row>
    <row r="428" spans="6:29">
      <c r="I428" s="377"/>
      <c r="AA428" s="510">
        <f t="shared" si="44"/>
        <v>363</v>
      </c>
      <c r="AB428">
        <f t="shared" si="45"/>
        <v>1028.6769999999999</v>
      </c>
      <c r="AC428">
        <f t="shared" si="43"/>
        <v>0</v>
      </c>
    </row>
    <row r="429" spans="6:29">
      <c r="I429" s="377"/>
      <c r="AA429" s="510">
        <f t="shared" si="44"/>
        <v>364</v>
      </c>
      <c r="AB429">
        <f t="shared" si="45"/>
        <v>1027.288</v>
      </c>
      <c r="AC429">
        <f t="shared" si="43"/>
        <v>0</v>
      </c>
    </row>
    <row r="430" spans="6:29">
      <c r="I430" s="377"/>
      <c r="AA430" s="510">
        <f t="shared" si="44"/>
        <v>365</v>
      </c>
      <c r="AB430">
        <f t="shared" si="45"/>
        <v>1019</v>
      </c>
      <c r="AC430">
        <f t="shared" si="43"/>
        <v>0</v>
      </c>
    </row>
    <row r="431" spans="6:29">
      <c r="I431" s="377"/>
    </row>
    <row r="432" spans="6:29">
      <c r="I432" s="377"/>
    </row>
    <row r="433" spans="9:9">
      <c r="I433" s="377"/>
    </row>
    <row r="434" spans="9:9">
      <c r="I434" s="377"/>
    </row>
    <row r="435" spans="9:9">
      <c r="I435" s="377"/>
    </row>
    <row r="436" spans="9:9">
      <c r="I436" s="377"/>
    </row>
    <row r="437" spans="9:9">
      <c r="I437" s="377"/>
    </row>
    <row r="438" spans="9:9">
      <c r="I438" s="377"/>
    </row>
    <row r="439" spans="9:9">
      <c r="I439" s="377"/>
    </row>
    <row r="440" spans="9:9">
      <c r="I440" s="377"/>
    </row>
    <row r="441" spans="9:9">
      <c r="I441" s="377"/>
    </row>
    <row r="442" spans="9:9">
      <c r="I442" s="377"/>
    </row>
    <row r="443" spans="9:9">
      <c r="I443" s="377"/>
    </row>
    <row r="444" spans="9:9">
      <c r="I444" s="377"/>
    </row>
    <row r="445" spans="9:9">
      <c r="I445" s="377"/>
    </row>
    <row r="446" spans="9:9">
      <c r="I446" s="377"/>
    </row>
    <row r="447" spans="9:9">
      <c r="I447" s="377"/>
    </row>
    <row r="448" spans="9:9">
      <c r="I448" s="377"/>
    </row>
    <row r="449" spans="9:9">
      <c r="I449" s="377"/>
    </row>
    <row r="450" spans="9:9">
      <c r="I450" s="377"/>
    </row>
    <row r="451" spans="9:9">
      <c r="I451" s="377"/>
    </row>
    <row r="452" spans="9:9">
      <c r="I452" s="377"/>
    </row>
    <row r="453" spans="9:9">
      <c r="I453" s="377"/>
    </row>
    <row r="454" spans="9:9">
      <c r="I454" s="377"/>
    </row>
  </sheetData>
  <mergeCells count="25">
    <mergeCell ref="A165:A167"/>
    <mergeCell ref="B165:B167"/>
    <mergeCell ref="C165:C167"/>
    <mergeCell ref="L3:X3"/>
    <mergeCell ref="AA2:AC2"/>
    <mergeCell ref="A62:A64"/>
    <mergeCell ref="A8:A10"/>
    <mergeCell ref="B62:B64"/>
    <mergeCell ref="C62:C64"/>
    <mergeCell ref="A113:A115"/>
    <mergeCell ref="B113:B115"/>
    <mergeCell ref="L2:X2"/>
    <mergeCell ref="J8:J10"/>
    <mergeCell ref="C8:C10"/>
    <mergeCell ref="B8:B10"/>
    <mergeCell ref="C113:C115"/>
    <mergeCell ref="A319:A321"/>
    <mergeCell ref="B319:B321"/>
    <mergeCell ref="C319:C321"/>
    <mergeCell ref="A217:A219"/>
    <mergeCell ref="B217:B219"/>
    <mergeCell ref="C217:C219"/>
    <mergeCell ref="A268:A270"/>
    <mergeCell ref="B268:B270"/>
    <mergeCell ref="C268:C270"/>
  </mergeCells>
  <phoneticPr fontId="47" type="noConversion"/>
  <conditionalFormatting sqref="K326:K360 K8:K51 K53:K65 K107:K271 K316:K322">
    <cfRule type="containsText" dxfId="0" priority="1" stopIfTrue="1" operator="containsText" text="FALSE">
      <formula>NOT(ISERROR(SEARCH("FALSE",K8)))</formula>
    </cfRule>
  </conditionalFormatting>
  <printOptions horizontalCentered="1" verticalCentered="1"/>
  <pageMargins left="0.25" right="0" top="0" bottom="0.75" header="0" footer="0"/>
  <pageSetup scale="65" orientation="portrait" horizontalDpi="4294967293" r:id="rId1"/>
  <headerFooter alignWithMargins="0"/>
  <rowBreaks count="1" manualBreakCount="1">
    <brk id="145" max="65535" man="1"/>
  </rowBreaks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28"/>
  <sheetViews>
    <sheetView topLeftCell="A25" workbookViewId="0">
      <selection activeCell="C14" sqref="C14"/>
    </sheetView>
  </sheetViews>
  <sheetFormatPr defaultRowHeight="12.75"/>
  <cols>
    <col min="1" max="1" width="4.42578125" customWidth="1"/>
    <col min="2" max="2" width="18.140625" customWidth="1"/>
    <col min="3" max="3" width="11.85546875" customWidth="1"/>
    <col min="4" max="4" width="11.42578125" customWidth="1"/>
    <col min="5" max="5" width="10.7109375" customWidth="1"/>
    <col min="6" max="7" width="12.5703125" customWidth="1"/>
    <col min="8" max="8" width="11.7109375" customWidth="1"/>
    <col min="9" max="9" width="10.42578125" customWidth="1"/>
    <col min="10" max="10" width="12.85546875" customWidth="1"/>
    <col min="11" max="11" width="10" customWidth="1"/>
    <col min="12" max="12" width="9.5703125" customWidth="1"/>
    <col min="13" max="13" width="11.85546875" customWidth="1"/>
    <col min="14" max="14" width="12.7109375" customWidth="1"/>
  </cols>
  <sheetData>
    <row r="2" spans="1:14" ht="15">
      <c r="A2" s="617" t="s">
        <v>151</v>
      </c>
      <c r="B2" s="617"/>
      <c r="C2" s="617"/>
      <c r="D2" s="617"/>
      <c r="E2" s="617"/>
      <c r="F2" s="617"/>
      <c r="G2" s="617"/>
      <c r="H2" s="617"/>
      <c r="I2" s="303"/>
    </row>
    <row r="3" spans="1:14">
      <c r="A3" s="617" t="s">
        <v>19</v>
      </c>
      <c r="B3" s="617"/>
      <c r="C3" s="617"/>
      <c r="D3" s="617"/>
      <c r="E3" s="617"/>
      <c r="F3" s="617"/>
      <c r="G3" s="617"/>
      <c r="H3" s="617"/>
      <c r="I3" s="303"/>
    </row>
    <row r="4" spans="1:14" ht="13.5">
      <c r="A4" s="618" t="str">
        <f>+UTAMA!A6</f>
        <v>MINGGU   KE V  DESEMBER  2013</v>
      </c>
      <c r="B4" s="618"/>
      <c r="C4" s="618"/>
      <c r="D4" s="618"/>
      <c r="E4" s="618"/>
      <c r="F4" s="618"/>
      <c r="G4" s="618"/>
      <c r="H4" s="618"/>
      <c r="I4" s="304"/>
    </row>
    <row r="5" spans="1:14" ht="13.5" thickBot="1">
      <c r="A5" s="254"/>
      <c r="B5" s="254"/>
      <c r="C5" s="254"/>
      <c r="D5" s="254"/>
      <c r="E5" s="254"/>
      <c r="F5" s="254"/>
      <c r="G5" s="254"/>
      <c r="H5" s="254"/>
      <c r="I5" s="254"/>
    </row>
    <row r="6" spans="1:14" ht="13.5">
      <c r="A6" s="255" t="s">
        <v>20</v>
      </c>
      <c r="B6" s="256" t="s">
        <v>21</v>
      </c>
      <c r="C6" s="619" t="s">
        <v>106</v>
      </c>
      <c r="D6" s="257" t="s">
        <v>107</v>
      </c>
      <c r="E6" s="258"/>
      <c r="F6" s="257" t="s">
        <v>152</v>
      </c>
      <c r="G6" s="258"/>
      <c r="H6" s="259" t="s">
        <v>72</v>
      </c>
      <c r="I6" s="309" t="s">
        <v>153</v>
      </c>
    </row>
    <row r="7" spans="1:14" ht="13.5" thickBot="1">
      <c r="A7" s="260"/>
      <c r="B7" s="261"/>
      <c r="C7" s="615"/>
      <c r="D7" s="262" t="s">
        <v>108</v>
      </c>
      <c r="E7" s="262" t="s">
        <v>24</v>
      </c>
      <c r="F7" s="262" t="s">
        <v>108</v>
      </c>
      <c r="G7" s="262" t="s">
        <v>24</v>
      </c>
      <c r="H7" s="263" t="s">
        <v>24</v>
      </c>
      <c r="I7" s="310" t="s">
        <v>154</v>
      </c>
    </row>
    <row r="8" spans="1:14" ht="13.5" thickBot="1">
      <c r="A8" s="264">
        <v>1</v>
      </c>
      <c r="B8" s="265">
        <v>2</v>
      </c>
      <c r="C8" s="266">
        <v>3</v>
      </c>
      <c r="D8" s="265">
        <v>4</v>
      </c>
      <c r="E8" s="265">
        <v>5</v>
      </c>
      <c r="F8" s="265">
        <v>6</v>
      </c>
      <c r="G8" s="265">
        <v>7</v>
      </c>
      <c r="H8" s="267">
        <v>8</v>
      </c>
      <c r="I8" s="266">
        <v>9</v>
      </c>
      <c r="K8" t="s">
        <v>146</v>
      </c>
      <c r="L8" s="37" t="s">
        <v>147</v>
      </c>
      <c r="M8" t="s">
        <v>149</v>
      </c>
      <c r="N8" s="37" t="s">
        <v>148</v>
      </c>
    </row>
    <row r="9" spans="1:14" ht="15" customHeight="1">
      <c r="A9" s="268">
        <v>1</v>
      </c>
      <c r="B9" s="269" t="s">
        <v>31</v>
      </c>
      <c r="C9" s="270">
        <v>35162</v>
      </c>
      <c r="D9" s="271">
        <f>+UTAMA!F12</f>
        <v>49.4</v>
      </c>
      <c r="E9" s="272">
        <f>+UTAMA!H12</f>
        <v>50.66</v>
      </c>
      <c r="F9" s="273">
        <f>+UTAMA!G12</f>
        <v>5.2549999999999999</v>
      </c>
      <c r="G9" s="273">
        <f>+UTAMA!I12</f>
        <v>8.7780000000000005</v>
      </c>
      <c r="H9" s="311">
        <f t="shared" ref="H9:H16" si="0">+G9/F9*100%*100</f>
        <v>167.04091341579451</v>
      </c>
      <c r="I9" s="317"/>
      <c r="K9">
        <v>1</v>
      </c>
      <c r="L9" s="37"/>
      <c r="N9" s="37"/>
    </row>
    <row r="10" spans="1:14" ht="15" customHeight="1">
      <c r="A10" s="274">
        <f t="shared" ref="A10:A16" si="1">+A9+1</f>
        <v>2</v>
      </c>
      <c r="B10" s="275" t="s">
        <v>33</v>
      </c>
      <c r="C10" s="276">
        <v>17481</v>
      </c>
      <c r="D10" s="277">
        <f>+UTAMA!F14</f>
        <v>68.95</v>
      </c>
      <c r="E10" s="278">
        <f>+UTAMA!H14</f>
        <v>72.92</v>
      </c>
      <c r="F10" s="279">
        <f>+UTAMA!G14</f>
        <v>10.069000000000001</v>
      </c>
      <c r="G10" s="280">
        <f>+UTAMA!I14</f>
        <v>23.931999999999999</v>
      </c>
      <c r="H10" s="312">
        <f t="shared" si="0"/>
        <v>237.68000794517823</v>
      </c>
      <c r="I10" s="316"/>
      <c r="K10">
        <v>1</v>
      </c>
    </row>
    <row r="11" spans="1:14" ht="15" customHeight="1">
      <c r="A11" s="274">
        <f t="shared" si="1"/>
        <v>3</v>
      </c>
      <c r="B11" s="275" t="s">
        <v>34</v>
      </c>
      <c r="C11" s="276">
        <v>19972</v>
      </c>
      <c r="D11" s="277">
        <f>+UTAMA!F15</f>
        <v>461.72</v>
      </c>
      <c r="E11" s="278">
        <f>+UTAMA!H15</f>
        <v>461.65</v>
      </c>
      <c r="F11" s="279">
        <f>+UTAMA!G15</f>
        <v>19.920000000000002</v>
      </c>
      <c r="G11" s="280">
        <f>+UTAMA!I15</f>
        <v>18.8</v>
      </c>
      <c r="H11" s="312">
        <f t="shared" si="0"/>
        <v>94.377510040160644</v>
      </c>
      <c r="I11" s="316"/>
      <c r="L11">
        <v>1</v>
      </c>
    </row>
    <row r="12" spans="1:14" ht="15" customHeight="1">
      <c r="A12" s="274">
        <f t="shared" si="1"/>
        <v>4</v>
      </c>
      <c r="B12" s="275" t="s">
        <v>37</v>
      </c>
      <c r="C12" s="276">
        <v>59544</v>
      </c>
      <c r="D12" s="277">
        <f>+UTAMA!F18</f>
        <v>77.599999999999994</v>
      </c>
      <c r="E12" s="281">
        <f>+UTAMA!H18</f>
        <v>81.23</v>
      </c>
      <c r="F12" s="279">
        <f>+UTAMA!G18</f>
        <v>299.5</v>
      </c>
      <c r="G12" s="279">
        <f>+UTAMA!I18</f>
        <v>384.69600000000003</v>
      </c>
      <c r="H12" s="312">
        <f t="shared" si="0"/>
        <v>128.44607679465778</v>
      </c>
      <c r="I12" s="306"/>
      <c r="K12">
        <v>1</v>
      </c>
    </row>
    <row r="13" spans="1:14" ht="15" customHeight="1">
      <c r="A13" s="274">
        <f t="shared" si="1"/>
        <v>5</v>
      </c>
      <c r="B13" s="275" t="s">
        <v>47</v>
      </c>
      <c r="C13" s="276">
        <v>28109</v>
      </c>
      <c r="D13" s="277">
        <f>+UTAMA!F27</f>
        <v>128.62</v>
      </c>
      <c r="E13" s="278">
        <f>+UTAMA!H27</f>
        <v>132.97999999999999</v>
      </c>
      <c r="F13" s="282">
        <f>+UTAMA!G27</f>
        <v>87.217799999999997</v>
      </c>
      <c r="G13" s="282">
        <f>+UTAMA!I27</f>
        <v>224.179</v>
      </c>
      <c r="H13" s="312">
        <f t="shared" si="0"/>
        <v>257.03354131840064</v>
      </c>
      <c r="I13" s="306"/>
      <c r="K13">
        <v>1</v>
      </c>
    </row>
    <row r="14" spans="1:14" ht="15" customHeight="1">
      <c r="A14" s="274">
        <f t="shared" si="1"/>
        <v>6</v>
      </c>
      <c r="B14" s="275" t="s">
        <v>67</v>
      </c>
      <c r="C14" s="276">
        <v>6485</v>
      </c>
      <c r="D14" s="277">
        <f>+UTAMA!F47</f>
        <v>53.4</v>
      </c>
      <c r="E14" s="278">
        <f>+UTAMA!H47</f>
        <v>68.349999999999994</v>
      </c>
      <c r="F14" s="279">
        <f>+UTAMA!G47</f>
        <v>6.88</v>
      </c>
      <c r="G14" s="280">
        <f>+UTAMA!I47</f>
        <v>29.584</v>
      </c>
      <c r="H14" s="312">
        <f t="shared" si="0"/>
        <v>430</v>
      </c>
      <c r="I14" s="306"/>
      <c r="K14">
        <v>1</v>
      </c>
    </row>
    <row r="15" spans="1:14" ht="15" customHeight="1">
      <c r="A15" s="274">
        <f t="shared" si="1"/>
        <v>7</v>
      </c>
      <c r="B15" s="275" t="s">
        <v>68</v>
      </c>
      <c r="C15" s="276">
        <v>31109</v>
      </c>
      <c r="D15" s="277">
        <f>+UTAMA!F48</f>
        <v>165</v>
      </c>
      <c r="E15" s="278">
        <f>+UTAMA!H48</f>
        <v>173.54</v>
      </c>
      <c r="F15" s="279">
        <f>+UTAMA!G48</f>
        <v>199.78399999999999</v>
      </c>
      <c r="G15" s="280">
        <f>+UTAMA!I48</f>
        <v>276.41660000000002</v>
      </c>
      <c r="H15" s="312">
        <f t="shared" si="0"/>
        <v>138.35772634445203</v>
      </c>
      <c r="I15" s="306"/>
      <c r="K15">
        <v>1</v>
      </c>
    </row>
    <row r="16" spans="1:14" ht="15" customHeight="1" thickBot="1">
      <c r="A16" s="283">
        <f t="shared" si="1"/>
        <v>8</v>
      </c>
      <c r="B16" s="284" t="s">
        <v>69</v>
      </c>
      <c r="C16" s="285">
        <v>8400</v>
      </c>
      <c r="D16" s="286">
        <f>+UTAMA!F49</f>
        <v>228.07</v>
      </c>
      <c r="E16" s="287">
        <f>+UTAMA!H49</f>
        <v>230.1</v>
      </c>
      <c r="F16" s="288">
        <f>+UTAMA!G49</f>
        <v>8.4499999999999993</v>
      </c>
      <c r="G16" s="289">
        <f>+UTAMA!I49</f>
        <v>18.350000000000001</v>
      </c>
      <c r="H16" s="313">
        <f t="shared" si="0"/>
        <v>217.15976331360949</v>
      </c>
      <c r="I16" s="306"/>
      <c r="K16">
        <v>1</v>
      </c>
    </row>
    <row r="17" spans="1:14" ht="15" customHeight="1" thickTop="1" thickBot="1">
      <c r="A17" s="290"/>
      <c r="B17" s="265" t="s">
        <v>103</v>
      </c>
      <c r="C17" s="291">
        <f>SUM(C9:C16)</f>
        <v>206262</v>
      </c>
      <c r="D17" s="292"/>
      <c r="E17" s="293"/>
      <c r="F17" s="293">
        <f>SUM(F9:F16)</f>
        <v>637.07580000000007</v>
      </c>
      <c r="G17" s="293">
        <f>SUM(G9:G16)</f>
        <v>984.73559999999998</v>
      </c>
      <c r="H17" s="294">
        <f>+G17-F17</f>
        <v>347.6597999999999</v>
      </c>
      <c r="I17" s="307"/>
      <c r="K17" s="250">
        <f>SUM(K9:K16)</f>
        <v>7</v>
      </c>
      <c r="L17" s="250">
        <f>SUM(L9:L16)</f>
        <v>1</v>
      </c>
      <c r="M17" s="250">
        <f>SUM(M9:M16)</f>
        <v>0</v>
      </c>
      <c r="N17" s="250">
        <f>SUM(N9:N16)</f>
        <v>0</v>
      </c>
    </row>
    <row r="18" spans="1:14" ht="15" customHeight="1" thickBot="1">
      <c r="A18" s="290"/>
      <c r="B18" s="265" t="s">
        <v>72</v>
      </c>
      <c r="C18" s="265"/>
      <c r="D18" s="292"/>
      <c r="E18" s="293"/>
      <c r="F18" s="295" t="s">
        <v>109</v>
      </c>
      <c r="G18" s="315">
        <f>+G17/F17*100%</f>
        <v>1.5457118289534775</v>
      </c>
      <c r="H18" s="314">
        <f>+H17/F17</f>
        <v>0.54571182895347758</v>
      </c>
      <c r="I18" s="308"/>
    </row>
    <row r="19" spans="1:14">
      <c r="A19" s="254"/>
      <c r="B19" s="296" t="s">
        <v>104</v>
      </c>
      <c r="C19" s="296"/>
      <c r="D19" s="297"/>
      <c r="E19" s="297"/>
      <c r="F19" s="297"/>
      <c r="G19" s="254"/>
      <c r="H19" s="254"/>
      <c r="I19" s="254"/>
    </row>
    <row r="20" spans="1:14" ht="15" customHeight="1">
      <c r="A20" s="254"/>
      <c r="B20" s="298" t="s">
        <v>105</v>
      </c>
      <c r="C20" s="298"/>
      <c r="D20" s="298"/>
      <c r="E20" s="298"/>
      <c r="F20" s="298"/>
      <c r="G20" s="254"/>
      <c r="H20" s="254" t="s">
        <v>110</v>
      </c>
      <c r="I20" s="254"/>
    </row>
    <row r="21" spans="1:14" ht="15" customHeight="1">
      <c r="A21" s="254"/>
      <c r="B21" s="298" t="s">
        <v>111</v>
      </c>
      <c r="C21" s="299" t="s">
        <v>112</v>
      </c>
      <c r="D21" s="298" t="s">
        <v>113</v>
      </c>
      <c r="E21" s="298"/>
      <c r="F21" s="298"/>
      <c r="G21" s="299" t="s">
        <v>112</v>
      </c>
      <c r="H21" s="252">
        <f>+K17</f>
        <v>7</v>
      </c>
      <c r="I21" s="252"/>
    </row>
    <row r="22" spans="1:14" ht="15" customHeight="1">
      <c r="A22" s="254"/>
      <c r="B22" s="298" t="s">
        <v>114</v>
      </c>
      <c r="C22" s="299" t="s">
        <v>112</v>
      </c>
      <c r="D22" s="298" t="s">
        <v>115</v>
      </c>
      <c r="E22" s="298"/>
      <c r="F22" s="298"/>
      <c r="G22" s="299" t="s">
        <v>112</v>
      </c>
      <c r="H22" s="252">
        <f>+L17</f>
        <v>1</v>
      </c>
      <c r="I22" s="252"/>
    </row>
    <row r="23" spans="1:14" ht="15" customHeight="1">
      <c r="A23" s="254"/>
      <c r="B23" s="298" t="s">
        <v>116</v>
      </c>
      <c r="C23" s="299" t="s">
        <v>112</v>
      </c>
      <c r="D23" s="300" t="s">
        <v>117</v>
      </c>
      <c r="E23" s="300"/>
      <c r="F23" s="300"/>
      <c r="G23" s="299" t="s">
        <v>112</v>
      </c>
      <c r="H23" s="252">
        <f>+M17</f>
        <v>0</v>
      </c>
      <c r="I23" s="252"/>
    </row>
    <row r="24" spans="1:14" ht="15" customHeight="1" thickBot="1">
      <c r="A24" s="254"/>
      <c r="B24" s="301">
        <v>0</v>
      </c>
      <c r="C24" s="299" t="s">
        <v>112</v>
      </c>
      <c r="D24" s="300" t="s">
        <v>118</v>
      </c>
      <c r="E24" s="300"/>
      <c r="F24" s="300"/>
      <c r="G24" s="299" t="s">
        <v>112</v>
      </c>
      <c r="H24" s="252">
        <f>+N17</f>
        <v>0</v>
      </c>
      <c r="I24" s="252"/>
    </row>
    <row r="25" spans="1:14" ht="15" customHeight="1" thickTop="1">
      <c r="A25" s="254"/>
      <c r="B25" s="254"/>
      <c r="C25" s="254"/>
      <c r="D25" s="254"/>
      <c r="E25" s="616" t="s">
        <v>103</v>
      </c>
      <c r="F25" s="616"/>
      <c r="G25" s="299" t="s">
        <v>112</v>
      </c>
      <c r="H25" s="302">
        <f>+H24+H23+H22+H21</f>
        <v>8</v>
      </c>
      <c r="I25" s="305"/>
    </row>
    <row r="26" spans="1:14" ht="17.100000000000001" customHeight="1">
      <c r="E26" s="219"/>
      <c r="F26" s="219"/>
      <c r="G26" s="62"/>
      <c r="H26" s="39"/>
      <c r="I26" s="39"/>
    </row>
    <row r="27" spans="1:14" ht="17.100000000000001" customHeight="1">
      <c r="E27" s="219"/>
      <c r="F27" s="219"/>
      <c r="G27" s="62"/>
      <c r="H27" s="39"/>
      <c r="I27" s="39"/>
    </row>
    <row r="28" spans="1:14">
      <c r="H28" s="196"/>
      <c r="I28" s="196"/>
    </row>
  </sheetData>
  <mergeCells count="5">
    <mergeCell ref="E25:F25"/>
    <mergeCell ref="A2:H2"/>
    <mergeCell ref="A3:H3"/>
    <mergeCell ref="A4:H4"/>
    <mergeCell ref="C6:C7"/>
  </mergeCells>
  <phoneticPr fontId="47" type="noConversion"/>
  <pageMargins left="1.49" right="0.75" top="1.37" bottom="0.54" header="0.82" footer="0.5"/>
  <pageSetup scale="80" orientation="portrait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89"/>
  <sheetViews>
    <sheetView tabSelected="1" topLeftCell="A88" workbookViewId="0">
      <selection activeCell="G96" sqref="G96"/>
    </sheetView>
  </sheetViews>
  <sheetFormatPr defaultRowHeight="12.75"/>
  <cols>
    <col min="1" max="1" width="4.85546875" customWidth="1"/>
    <col min="2" max="2" width="17.28515625" customWidth="1"/>
    <col min="3" max="3" width="13.28515625" customWidth="1"/>
    <col min="4" max="4" width="12.140625" customWidth="1"/>
    <col min="5" max="5" width="11.85546875" customWidth="1"/>
    <col min="6" max="6" width="14.7109375" customWidth="1"/>
    <col min="7" max="7" width="12.42578125" customWidth="1"/>
    <col min="8" max="8" width="13.42578125" customWidth="1"/>
    <col min="9" max="9" width="9.85546875" customWidth="1"/>
    <col min="10" max="10" width="10.85546875" customWidth="1"/>
  </cols>
  <sheetData>
    <row r="1" spans="1:13" ht="21.75">
      <c r="A1" s="224"/>
      <c r="B1" s="225"/>
      <c r="C1" s="225"/>
      <c r="D1" s="225"/>
      <c r="E1" s="225"/>
      <c r="F1" s="225"/>
    </row>
    <row r="2" spans="1:13" ht="20.25">
      <c r="A2" s="620" t="s">
        <v>119</v>
      </c>
      <c r="B2" s="620"/>
      <c r="C2" s="620"/>
      <c r="D2" s="620"/>
      <c r="E2" s="620"/>
      <c r="F2" s="620"/>
      <c r="G2" s="620"/>
      <c r="H2" s="620"/>
      <c r="I2" s="178"/>
      <c r="J2" s="178"/>
      <c r="K2" s="178"/>
    </row>
    <row r="3" spans="1:13" ht="18">
      <c r="A3" s="620" t="s">
        <v>19</v>
      </c>
      <c r="B3" s="620"/>
      <c r="C3" s="620"/>
      <c r="D3" s="620"/>
      <c r="E3" s="620"/>
      <c r="F3" s="620"/>
      <c r="G3" s="620"/>
      <c r="H3" s="620"/>
    </row>
    <row r="4" spans="1:13" ht="21.75">
      <c r="A4" s="620" t="str">
        <f>+UTAMA!A6</f>
        <v>MINGGU   KE V  DESEMBER  2013</v>
      </c>
      <c r="B4" s="620"/>
      <c r="C4" s="620"/>
      <c r="D4" s="620"/>
      <c r="E4" s="620"/>
      <c r="F4" s="620"/>
      <c r="G4" s="620"/>
      <c r="H4" s="620"/>
      <c r="I4" s="23"/>
      <c r="J4" s="23"/>
    </row>
    <row r="5" spans="1:13" ht="13.5" thickBot="1"/>
    <row r="6" spans="1:13" ht="21" customHeight="1" thickBot="1">
      <c r="A6" s="243" t="s">
        <v>20</v>
      </c>
      <c r="B6" s="245" t="s">
        <v>21</v>
      </c>
      <c r="C6" s="188" t="s">
        <v>120</v>
      </c>
      <c r="D6" s="249" t="s">
        <v>121</v>
      </c>
      <c r="E6" s="242"/>
      <c r="F6" s="249" t="s">
        <v>145</v>
      </c>
      <c r="G6" s="242"/>
      <c r="H6" s="247" t="s">
        <v>72</v>
      </c>
    </row>
    <row r="7" spans="1:13" ht="18.75" thickBot="1">
      <c r="A7" s="244"/>
      <c r="B7" s="244"/>
      <c r="C7" s="189" t="s">
        <v>122</v>
      </c>
      <c r="D7" s="51" t="s">
        <v>108</v>
      </c>
      <c r="E7" s="50" t="s">
        <v>24</v>
      </c>
      <c r="F7" s="50" t="s">
        <v>108</v>
      </c>
      <c r="G7" s="50" t="s">
        <v>24</v>
      </c>
      <c r="H7" s="248" t="s">
        <v>24</v>
      </c>
      <c r="J7" s="77"/>
      <c r="L7" s="77"/>
    </row>
    <row r="8" spans="1:13" ht="16.5" thickBot="1">
      <c r="A8" s="49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77" t="s">
        <v>124</v>
      </c>
      <c r="J8" s="77" t="s">
        <v>123</v>
      </c>
      <c r="K8" s="197" t="s">
        <v>126</v>
      </c>
      <c r="L8" s="77" t="s">
        <v>125</v>
      </c>
      <c r="M8" s="197" t="s">
        <v>93</v>
      </c>
    </row>
    <row r="9" spans="1:13" ht="15.75">
      <c r="A9" s="31">
        <v>1</v>
      </c>
      <c r="B9" s="8" t="s">
        <v>32</v>
      </c>
      <c r="C9" s="9">
        <v>28310</v>
      </c>
      <c r="D9" s="36">
        <f>+UTAMA!F13</f>
        <v>336.59</v>
      </c>
      <c r="E9" s="9">
        <f>+UTAMA!H13</f>
        <v>339.48</v>
      </c>
      <c r="F9" s="10">
        <f>+UTAMA!G13</f>
        <v>5.2530000000000001</v>
      </c>
      <c r="G9" s="10">
        <f>+UTAMA!I13</f>
        <v>7.7549999999999999</v>
      </c>
      <c r="H9" s="56">
        <f>+G9/F9*100%*100</f>
        <v>147.62992575671046</v>
      </c>
      <c r="L9">
        <v>1</v>
      </c>
    </row>
    <row r="10" spans="1:13" ht="15.75">
      <c r="A10" s="31">
        <f>1+A9</f>
        <v>2</v>
      </c>
      <c r="B10" s="8" t="s">
        <v>35</v>
      </c>
      <c r="C10" s="9">
        <v>4959</v>
      </c>
      <c r="D10" s="36">
        <f>+UTAMA!F16</f>
        <v>198.71</v>
      </c>
      <c r="E10" s="9">
        <f>+UTAMA!H16</f>
        <v>199.99</v>
      </c>
      <c r="F10" s="10">
        <f>+UTAMA!G16</f>
        <v>2.6</v>
      </c>
      <c r="G10" s="10">
        <f>+UTAMA!I16</f>
        <v>3.278</v>
      </c>
      <c r="H10" s="56">
        <f t="shared" ref="H10:H38" si="0">+G10/F10*100%*100</f>
        <v>126.07692307692307</v>
      </c>
      <c r="L10">
        <v>1</v>
      </c>
    </row>
    <row r="11" spans="1:13" ht="15.75">
      <c r="A11" s="31">
        <f t="shared" ref="A11:A38" si="1">+A10+1</f>
        <v>3</v>
      </c>
      <c r="B11" s="8" t="s">
        <v>36</v>
      </c>
      <c r="C11" s="9">
        <v>6052</v>
      </c>
      <c r="D11" s="36">
        <f>+UTAMA!F17</f>
        <v>311.26</v>
      </c>
      <c r="E11" s="9">
        <f>+UTAMA!H17</f>
        <v>311.87</v>
      </c>
      <c r="F11" s="10">
        <f>+UTAMA!G17</f>
        <v>1.58</v>
      </c>
      <c r="G11" s="179">
        <f>+UTAMA!I17</f>
        <v>1.7829999999999999</v>
      </c>
      <c r="H11" s="56">
        <f t="shared" si="0"/>
        <v>112.84810126582276</v>
      </c>
      <c r="L11">
        <v>1</v>
      </c>
    </row>
    <row r="12" spans="1:13" ht="15.75">
      <c r="A12" s="31">
        <f t="shared" si="1"/>
        <v>4</v>
      </c>
      <c r="B12" s="8" t="s">
        <v>38</v>
      </c>
      <c r="C12" s="9">
        <v>923</v>
      </c>
      <c r="D12" s="36">
        <f>+UTAMA!F19</f>
        <v>116</v>
      </c>
      <c r="E12" s="11">
        <f>+UTAMA!H19</f>
        <v>115.54</v>
      </c>
      <c r="F12" s="10">
        <f>+UTAMA!G19</f>
        <v>0.61</v>
      </c>
      <c r="G12" s="179">
        <f>+UTAMA!I19</f>
        <v>0.46200000000000002</v>
      </c>
      <c r="H12" s="56">
        <f t="shared" si="0"/>
        <v>75.73770491803279</v>
      </c>
      <c r="J12">
        <v>1</v>
      </c>
    </row>
    <row r="13" spans="1:13" ht="15.75">
      <c r="A13" s="31">
        <f t="shared" si="1"/>
        <v>5</v>
      </c>
      <c r="B13" s="8" t="s">
        <v>39</v>
      </c>
      <c r="C13" s="9">
        <v>251</v>
      </c>
      <c r="D13" s="36">
        <f>+UTAMA!F20</f>
        <v>115.06</v>
      </c>
      <c r="E13" s="11">
        <f>+UTAMA!H20</f>
        <v>119.33</v>
      </c>
      <c r="F13" s="10">
        <f>+UTAMA!G20</f>
        <v>0.71</v>
      </c>
      <c r="G13" s="179">
        <f>+UTAMA!I20</f>
        <v>1.613</v>
      </c>
      <c r="H13" s="56">
        <f t="shared" si="0"/>
        <v>227.18309859154934</v>
      </c>
      <c r="L13">
        <v>1</v>
      </c>
    </row>
    <row r="14" spans="1:13" ht="15.75">
      <c r="A14" s="31">
        <f t="shared" si="1"/>
        <v>6</v>
      </c>
      <c r="B14" s="8" t="s">
        <v>40</v>
      </c>
      <c r="C14" s="9">
        <v>440</v>
      </c>
      <c r="D14" s="36">
        <f>+UTAMA!F21</f>
        <v>39.159999999999997</v>
      </c>
      <c r="E14" s="11">
        <f>+UTAMA!H21</f>
        <v>43.78</v>
      </c>
      <c r="F14" s="10">
        <f>+UTAMA!G21</f>
        <v>0.68</v>
      </c>
      <c r="G14" s="179">
        <f>+UTAMA!I21</f>
        <v>2.5009999999999999</v>
      </c>
      <c r="H14" s="56">
        <f>+G14/F14*100%*100</f>
        <v>367.79411764705878</v>
      </c>
      <c r="L14">
        <v>1</v>
      </c>
    </row>
    <row r="15" spans="1:13" ht="15.75">
      <c r="A15" s="31">
        <f t="shared" si="1"/>
        <v>7</v>
      </c>
      <c r="B15" s="8" t="s">
        <v>42</v>
      </c>
      <c r="C15" s="9">
        <v>775</v>
      </c>
      <c r="D15" s="36">
        <f>+UTAMA!F22</f>
        <v>47.63</v>
      </c>
      <c r="E15" s="9">
        <f>+UTAMA!H22</f>
        <v>49.64</v>
      </c>
      <c r="F15" s="10">
        <f>+UTAMA!G22</f>
        <v>1.1299999999999999</v>
      </c>
      <c r="G15" s="10">
        <f>+UTAMA!I22</f>
        <v>1.96</v>
      </c>
      <c r="H15" s="56">
        <f t="shared" si="0"/>
        <v>173.45132743362831</v>
      </c>
      <c r="L15">
        <v>1</v>
      </c>
    </row>
    <row r="16" spans="1:13" ht="15.75">
      <c r="A16" s="31">
        <f t="shared" si="1"/>
        <v>8</v>
      </c>
      <c r="B16" s="8" t="s">
        <v>43</v>
      </c>
      <c r="C16" s="9">
        <v>750</v>
      </c>
      <c r="D16" s="36">
        <f>+UTAMA!F23</f>
        <v>76.180000000000007</v>
      </c>
      <c r="E16" s="9">
        <f>+UTAMA!H23</f>
        <v>75.98</v>
      </c>
      <c r="F16" s="10">
        <f>+UTAMA!G23</f>
        <v>0.39</v>
      </c>
      <c r="G16" s="10">
        <f>+UTAMA!I23</f>
        <v>0.37</v>
      </c>
      <c r="H16" s="56">
        <f t="shared" si="0"/>
        <v>94.871794871794862</v>
      </c>
      <c r="K16">
        <v>1</v>
      </c>
    </row>
    <row r="17" spans="1:12" ht="15.75">
      <c r="A17" s="31">
        <f t="shared" si="1"/>
        <v>9</v>
      </c>
      <c r="B17" s="8" t="s">
        <v>44</v>
      </c>
      <c r="C17" s="9">
        <v>482</v>
      </c>
      <c r="D17" s="36">
        <f>+UTAMA!F24</f>
        <v>81.64</v>
      </c>
      <c r="E17" s="9">
        <f>+UTAMA!H24</f>
        <v>82.52</v>
      </c>
      <c r="F17" s="10">
        <f>+UTAMA!G24</f>
        <v>0.26</v>
      </c>
      <c r="G17" s="10">
        <f>+UTAMA!I24</f>
        <v>0.38500000000000001</v>
      </c>
      <c r="H17" s="56">
        <f t="shared" si="0"/>
        <v>148.07692307692309</v>
      </c>
      <c r="L17">
        <v>1</v>
      </c>
    </row>
    <row r="18" spans="1:12" ht="15.75">
      <c r="A18" s="31">
        <f t="shared" si="1"/>
        <v>10</v>
      </c>
      <c r="B18" s="8" t="s">
        <v>45</v>
      </c>
      <c r="C18" s="9">
        <v>366</v>
      </c>
      <c r="D18" s="36">
        <f>+UTAMA!F25</f>
        <v>68.62</v>
      </c>
      <c r="E18" s="11">
        <f>+UTAMA!H25</f>
        <v>70.040000000000006</v>
      </c>
      <c r="F18" s="10">
        <f>+UTAMA!G25</f>
        <v>0.12</v>
      </c>
      <c r="G18" s="179">
        <f>+UTAMA!I25</f>
        <v>0.26500000000000001</v>
      </c>
      <c r="H18" s="56">
        <f t="shared" si="0"/>
        <v>220.83333333333334</v>
      </c>
      <c r="L18">
        <v>1</v>
      </c>
    </row>
    <row r="19" spans="1:12" ht="15.75">
      <c r="A19" s="31">
        <f>+A18+1</f>
        <v>11</v>
      </c>
      <c r="B19" s="8" t="s">
        <v>46</v>
      </c>
      <c r="C19" s="9">
        <v>260</v>
      </c>
      <c r="D19" s="36">
        <f>+UTAMA!F26</f>
        <v>2.13</v>
      </c>
      <c r="E19" s="11">
        <f>+UTAMA!H26</f>
        <v>3.46</v>
      </c>
      <c r="F19" s="10">
        <f>+UTAMA!G26</f>
        <v>0.04</v>
      </c>
      <c r="G19" s="179">
        <f>+UTAMA!I26</f>
        <v>0.14599999999999999</v>
      </c>
      <c r="H19" s="56">
        <f t="shared" si="0"/>
        <v>365</v>
      </c>
      <c r="L19">
        <v>1</v>
      </c>
    </row>
    <row r="20" spans="1:12" ht="15.75">
      <c r="A20" s="31">
        <f>+A19+1</f>
        <v>12</v>
      </c>
      <c r="B20" s="8" t="s">
        <v>48</v>
      </c>
      <c r="C20" s="9">
        <v>874</v>
      </c>
      <c r="D20" s="36">
        <f>+UTAMA!F28</f>
        <v>108.32</v>
      </c>
      <c r="E20" s="11">
        <f>+UTAMA!H28</f>
        <v>111</v>
      </c>
      <c r="F20" s="10">
        <f>+UTAMA!G28</f>
        <v>1.554</v>
      </c>
      <c r="G20" s="179">
        <f>+UTAMA!I28</f>
        <v>2.5139999999999998</v>
      </c>
      <c r="H20" s="56">
        <f t="shared" si="0"/>
        <v>161.77606177606177</v>
      </c>
      <c r="L20">
        <v>1</v>
      </c>
    </row>
    <row r="21" spans="1:12" ht="15.75">
      <c r="A21" s="31">
        <f>+A20+1</f>
        <v>13</v>
      </c>
      <c r="B21" s="8" t="s">
        <v>49</v>
      </c>
      <c r="C21" s="9">
        <v>392</v>
      </c>
      <c r="D21" s="36">
        <f>+UTAMA!F29</f>
        <v>222.4</v>
      </c>
      <c r="E21" s="11">
        <f>+UTAMA!H29</f>
        <v>225.3</v>
      </c>
      <c r="F21" s="10">
        <f>+UTAMA!G29</f>
        <v>0.17399999999999999</v>
      </c>
      <c r="G21" s="179">
        <f>+UTAMA!I29</f>
        <v>0.56200000000000006</v>
      </c>
      <c r="H21" s="56">
        <f t="shared" si="0"/>
        <v>322.98850574712651</v>
      </c>
      <c r="L21">
        <v>1</v>
      </c>
    </row>
    <row r="22" spans="1:12" ht="15.75">
      <c r="A22" s="31">
        <f t="shared" si="1"/>
        <v>14</v>
      </c>
      <c r="B22" s="8" t="s">
        <v>50</v>
      </c>
      <c r="C22" s="9">
        <v>500</v>
      </c>
      <c r="D22" s="36">
        <f>+UTAMA!F30</f>
        <v>216.9</v>
      </c>
      <c r="E22" s="11">
        <f>+UTAMA!H30</f>
        <v>221.3</v>
      </c>
      <c r="F22" s="10">
        <f>+UTAMA!G30</f>
        <v>0.115</v>
      </c>
      <c r="G22" s="179">
        <f>+UTAMA!I30</f>
        <v>0.372</v>
      </c>
      <c r="H22" s="56">
        <f t="shared" si="0"/>
        <v>323.47826086956519</v>
      </c>
      <c r="L22">
        <v>1</v>
      </c>
    </row>
    <row r="23" spans="1:12" ht="15.75">
      <c r="A23" s="31">
        <f t="shared" si="1"/>
        <v>15</v>
      </c>
      <c r="B23" s="8" t="s">
        <v>51</v>
      </c>
      <c r="C23" s="9">
        <v>700</v>
      </c>
      <c r="D23" s="36">
        <f>+UTAMA!F31</f>
        <v>192.4</v>
      </c>
      <c r="E23" s="11">
        <f>+UTAMA!H31</f>
        <v>195.93</v>
      </c>
      <c r="F23" s="10">
        <f>+UTAMA!G31</f>
        <v>0.95499999999999996</v>
      </c>
      <c r="G23" s="179">
        <f>+UTAMA!I31</f>
        <v>1.57</v>
      </c>
      <c r="H23" s="56">
        <f t="shared" si="0"/>
        <v>164.39790575916231</v>
      </c>
      <c r="L23">
        <v>1</v>
      </c>
    </row>
    <row r="24" spans="1:12" ht="15.75">
      <c r="A24" s="31">
        <f t="shared" si="1"/>
        <v>16</v>
      </c>
      <c r="B24" s="8" t="s">
        <v>52</v>
      </c>
      <c r="C24" s="9">
        <v>87</v>
      </c>
      <c r="D24" s="36">
        <f>+UTAMA!F32</f>
        <v>171.8</v>
      </c>
      <c r="E24" s="11">
        <f>+UTAMA!H32</f>
        <v>173.65</v>
      </c>
      <c r="F24" s="10">
        <f>+UTAMA!G32</f>
        <v>2.1000000000000001E-2</v>
      </c>
      <c r="G24" s="179">
        <f>+UTAMA!I32</f>
        <v>0.20899999999999999</v>
      </c>
      <c r="H24" s="56">
        <f t="shared" si="0"/>
        <v>995.23809523809507</v>
      </c>
      <c r="L24">
        <v>1</v>
      </c>
    </row>
    <row r="25" spans="1:12" ht="15.75">
      <c r="A25" s="31">
        <f t="shared" si="1"/>
        <v>17</v>
      </c>
      <c r="B25" s="8" t="s">
        <v>53</v>
      </c>
      <c r="C25" s="9">
        <v>354</v>
      </c>
      <c r="D25" s="36">
        <f>+UTAMA!F33</f>
        <v>219.35</v>
      </c>
      <c r="E25" s="11">
        <f>+UTAMA!H33</f>
        <v>221.7</v>
      </c>
      <c r="F25" s="10">
        <f>+UTAMA!G33</f>
        <v>0.10199999999999999</v>
      </c>
      <c r="G25" s="179">
        <f>+UTAMA!I33</f>
        <v>0.20599999999999999</v>
      </c>
      <c r="H25" s="56">
        <f t="shared" si="0"/>
        <v>201.96078431372547</v>
      </c>
      <c r="L25">
        <v>1</v>
      </c>
    </row>
    <row r="26" spans="1:12" ht="15.75">
      <c r="A26" s="31">
        <f t="shared" si="1"/>
        <v>18</v>
      </c>
      <c r="B26" s="8" t="s">
        <v>54</v>
      </c>
      <c r="C26" s="9">
        <v>637</v>
      </c>
      <c r="D26" s="36">
        <f>+UTAMA!F34</f>
        <v>241.28</v>
      </c>
      <c r="E26" s="11">
        <f>+UTAMA!H34</f>
        <v>0.246</v>
      </c>
      <c r="F26" s="10">
        <f>+UTAMA!G34</f>
        <v>0.58799999999999997</v>
      </c>
      <c r="G26" s="179">
        <f>+UTAMA!I34</f>
        <v>1.2250000000000001</v>
      </c>
      <c r="H26" s="56">
        <f t="shared" si="0"/>
        <v>208.33333333333334</v>
      </c>
      <c r="L26">
        <v>1</v>
      </c>
    </row>
    <row r="27" spans="1:12" ht="15.75">
      <c r="A27" s="31">
        <f t="shared" si="1"/>
        <v>19</v>
      </c>
      <c r="B27" s="8" t="s">
        <v>55</v>
      </c>
      <c r="C27" s="9">
        <v>7394</v>
      </c>
      <c r="D27" s="36">
        <f>+UTAMA!F35</f>
        <v>154.51</v>
      </c>
      <c r="E27" s="9">
        <f>+UTAMA!H35</f>
        <v>156.55000000000001</v>
      </c>
      <c r="F27" s="10">
        <f>+UTAMA!G35</f>
        <v>0.54700000000000004</v>
      </c>
      <c r="G27" s="10">
        <f>+UTAMA!I35</f>
        <v>1.129</v>
      </c>
      <c r="H27" s="56">
        <f t="shared" si="0"/>
        <v>206.39853747714807</v>
      </c>
      <c r="L27">
        <v>1</v>
      </c>
    </row>
    <row r="28" spans="1:12" ht="16.5" thickBot="1">
      <c r="A28" s="1">
        <f t="shared" si="1"/>
        <v>20</v>
      </c>
      <c r="B28" s="35" t="s">
        <v>56</v>
      </c>
      <c r="C28" s="359">
        <v>2410</v>
      </c>
      <c r="D28" s="360">
        <f>+UTAMA!F36</f>
        <v>169.51</v>
      </c>
      <c r="E28" s="359">
        <f>+UTAMA!H36</f>
        <v>174.62</v>
      </c>
      <c r="F28" s="361">
        <f>+UTAMA!G36</f>
        <v>0.58299999999999996</v>
      </c>
      <c r="G28" s="361">
        <f>+UTAMA!I36</f>
        <v>1.9330000000000001</v>
      </c>
      <c r="H28" s="56">
        <f t="shared" si="0"/>
        <v>331.56089193825045</v>
      </c>
      <c r="L28">
        <v>1</v>
      </c>
    </row>
    <row r="29" spans="1:12" ht="15.75">
      <c r="A29" s="30">
        <f t="shared" si="1"/>
        <v>21</v>
      </c>
      <c r="B29" s="28" t="s">
        <v>57</v>
      </c>
      <c r="C29" s="362">
        <v>1370</v>
      </c>
      <c r="D29" s="363">
        <f>+UTAMA!F37</f>
        <v>321.93</v>
      </c>
      <c r="E29" s="364">
        <f>+UTAMA!H37</f>
        <v>325.56</v>
      </c>
      <c r="F29" s="365">
        <f>+UTAMA!G37</f>
        <v>0.36299999999999999</v>
      </c>
      <c r="G29" s="366">
        <f>+UTAMA!I37</f>
        <v>0.70099999999999996</v>
      </c>
      <c r="H29" s="56">
        <f t="shared" si="0"/>
        <v>193.11294765840219</v>
      </c>
      <c r="L29">
        <v>1</v>
      </c>
    </row>
    <row r="30" spans="1:12" ht="15.75">
      <c r="A30" s="31">
        <f t="shared" si="1"/>
        <v>22</v>
      </c>
      <c r="B30" s="8" t="s">
        <v>58</v>
      </c>
      <c r="C30" s="9">
        <v>358</v>
      </c>
      <c r="D30" s="36">
        <f>+UTAMA!F38</f>
        <v>125.29</v>
      </c>
      <c r="E30" s="11">
        <f>+UTAMA!H38</f>
        <v>127.65</v>
      </c>
      <c r="F30" s="10">
        <f>+UTAMA!G38</f>
        <v>0.12</v>
      </c>
      <c r="G30" s="180">
        <f>+UTAMA!I38</f>
        <v>0.34499999999999997</v>
      </c>
      <c r="H30" s="56">
        <f t="shared" si="0"/>
        <v>287.5</v>
      </c>
      <c r="L30">
        <v>1</v>
      </c>
    </row>
    <row r="31" spans="1:12" ht="15.75">
      <c r="A31" s="31">
        <f t="shared" si="1"/>
        <v>23</v>
      </c>
      <c r="B31" s="8" t="s">
        <v>59</v>
      </c>
      <c r="C31" s="9">
        <v>268</v>
      </c>
      <c r="D31" s="36">
        <f>+UTAMA!F39</f>
        <v>277.62</v>
      </c>
      <c r="E31" s="9">
        <f>+UTAMA!H39</f>
        <v>282.77999999999997</v>
      </c>
      <c r="F31" s="10">
        <f>+UTAMA!G39</f>
        <v>6.4000000000000001E-2</v>
      </c>
      <c r="G31" s="179">
        <f>+UTAMA!I39</f>
        <v>0.51300000000000001</v>
      </c>
      <c r="H31" s="56">
        <f t="shared" si="0"/>
        <v>801.5625</v>
      </c>
      <c r="L31">
        <v>1</v>
      </c>
    </row>
    <row r="32" spans="1:12" ht="15.75">
      <c r="A32" s="31">
        <f t="shared" si="1"/>
        <v>24</v>
      </c>
      <c r="B32" s="8" t="s">
        <v>60</v>
      </c>
      <c r="C32" s="9">
        <v>892</v>
      </c>
      <c r="D32" s="36">
        <f>+UTAMA!F40</f>
        <v>96.61</v>
      </c>
      <c r="E32" s="11">
        <f>+UTAMA!H40</f>
        <v>97.83</v>
      </c>
      <c r="F32" s="10">
        <f>+UTAMA!G40</f>
        <v>1.3460000000000001</v>
      </c>
      <c r="G32" s="179">
        <f>+UTAMA!I40</f>
        <v>2</v>
      </c>
      <c r="H32" s="56">
        <f t="shared" si="0"/>
        <v>148.58841010401187</v>
      </c>
      <c r="L32">
        <v>1</v>
      </c>
    </row>
    <row r="33" spans="1:14" ht="15.75">
      <c r="A33" s="31">
        <f t="shared" si="1"/>
        <v>25</v>
      </c>
      <c r="B33" s="8" t="s">
        <v>61</v>
      </c>
      <c r="C33" s="9">
        <v>274</v>
      </c>
      <c r="D33" s="36">
        <f>+UTAMA!F41</f>
        <v>187.84</v>
      </c>
      <c r="E33" s="190">
        <f>+UTAMA!H41</f>
        <v>189.7</v>
      </c>
      <c r="F33" s="10">
        <f>+UTAMA!G41</f>
        <v>2.1000000000000001E-2</v>
      </c>
      <c r="G33" s="179">
        <f>+UTAMA!I41</f>
        <v>0.08</v>
      </c>
      <c r="H33" s="56">
        <f t="shared" si="0"/>
        <v>380.95238095238091</v>
      </c>
      <c r="L33">
        <v>1</v>
      </c>
    </row>
    <row r="34" spans="1:14" ht="15.75">
      <c r="A34" s="31">
        <f t="shared" si="1"/>
        <v>26</v>
      </c>
      <c r="B34" s="8" t="s">
        <v>62</v>
      </c>
      <c r="C34" s="9">
        <v>295</v>
      </c>
      <c r="D34" s="36">
        <f>+UTAMA!F42</f>
        <v>168.41</v>
      </c>
      <c r="E34" s="190">
        <f>+UTAMA!H42</f>
        <v>171.46</v>
      </c>
      <c r="F34" s="10">
        <f>+UTAMA!G42</f>
        <v>0.03</v>
      </c>
      <c r="G34" s="179">
        <f>+UTAMA!I42</f>
        <v>0.10299999999999999</v>
      </c>
      <c r="H34" s="56">
        <f t="shared" si="0"/>
        <v>343.33333333333331</v>
      </c>
      <c r="I34" s="196"/>
      <c r="L34">
        <v>1</v>
      </c>
    </row>
    <row r="35" spans="1:14" ht="15.75">
      <c r="A35" s="31">
        <f t="shared" si="1"/>
        <v>27</v>
      </c>
      <c r="B35" s="8" t="s">
        <v>63</v>
      </c>
      <c r="C35" s="9">
        <v>1570</v>
      </c>
      <c r="D35" s="36">
        <f>+UTAMA!F43</f>
        <v>139.6</v>
      </c>
      <c r="E35" s="9">
        <f>+UTAMA!H43</f>
        <v>140.03</v>
      </c>
      <c r="F35" s="10">
        <f>+UTAMA!G43</f>
        <v>2.036</v>
      </c>
      <c r="G35" s="10">
        <f>+UTAMA!I43</f>
        <v>2.78</v>
      </c>
      <c r="H35" s="56">
        <f t="shared" si="0"/>
        <v>136.54223968565816</v>
      </c>
      <c r="L35">
        <v>1</v>
      </c>
    </row>
    <row r="36" spans="1:14" ht="15.75">
      <c r="A36" s="31">
        <f t="shared" si="1"/>
        <v>28</v>
      </c>
      <c r="B36" s="8" t="s">
        <v>64</v>
      </c>
      <c r="C36" s="9">
        <v>1353</v>
      </c>
      <c r="D36" s="36">
        <f>+UTAMA!F44</f>
        <v>235.56</v>
      </c>
      <c r="E36" s="9">
        <f>+UTAMA!H44</f>
        <v>235.9</v>
      </c>
      <c r="F36" s="10">
        <f>+UTAMA!G44</f>
        <v>0.80300000000000005</v>
      </c>
      <c r="G36" s="10">
        <f>+UTAMA!I44</f>
        <v>0.90900000000000003</v>
      </c>
      <c r="H36" s="56">
        <f t="shared" si="0"/>
        <v>113.20049813200497</v>
      </c>
      <c r="L36">
        <v>1</v>
      </c>
    </row>
    <row r="37" spans="1:14" ht="15.75">
      <c r="A37" s="31">
        <f t="shared" si="1"/>
        <v>29</v>
      </c>
      <c r="B37" s="8" t="s">
        <v>65</v>
      </c>
      <c r="C37" s="9">
        <v>782</v>
      </c>
      <c r="D37" s="36">
        <f>+UTAMA!F45</f>
        <v>118.83</v>
      </c>
      <c r="E37" s="9">
        <f>+UTAMA!H45</f>
        <v>120.46</v>
      </c>
      <c r="F37" s="10">
        <f>+UTAMA!G45</f>
        <v>0.94399999999999995</v>
      </c>
      <c r="G37" s="10">
        <f>+UTAMA!I45</f>
        <v>3.601</v>
      </c>
      <c r="H37" s="56">
        <f t="shared" si="0"/>
        <v>381.46186440677968</v>
      </c>
      <c r="L37">
        <v>1</v>
      </c>
    </row>
    <row r="38" spans="1:14" ht="16.5" thickBot="1">
      <c r="A38" s="31">
        <f t="shared" si="1"/>
        <v>30</v>
      </c>
      <c r="B38" s="8" t="s">
        <v>66</v>
      </c>
      <c r="C38" s="9">
        <v>43</v>
      </c>
      <c r="D38" s="36">
        <f>+UTAMA!F46</f>
        <v>108.27</v>
      </c>
      <c r="E38" s="9">
        <f>+UTAMA!H46</f>
        <v>109.46</v>
      </c>
      <c r="F38" s="10">
        <f>+UTAMA!G46</f>
        <v>0.61799999999999999</v>
      </c>
      <c r="G38" s="10">
        <f>+UTAMA!I46</f>
        <v>1.282</v>
      </c>
      <c r="H38" s="56">
        <f t="shared" si="0"/>
        <v>207.44336569579289</v>
      </c>
      <c r="L38">
        <v>1</v>
      </c>
    </row>
    <row r="39" spans="1:14" ht="16.5" thickBot="1">
      <c r="A39" s="19"/>
      <c r="B39" s="21" t="s">
        <v>103</v>
      </c>
      <c r="C39" s="20">
        <f>SUM(C9:C38)</f>
        <v>64121</v>
      </c>
      <c r="D39" s="26"/>
      <c r="E39" s="26"/>
      <c r="F39" s="25">
        <f>SUM(F9:F38)</f>
        <v>24.356999999999999</v>
      </c>
      <c r="G39" s="54">
        <f>SUM(G9:G38)</f>
        <v>42.552000000000007</v>
      </c>
      <c r="H39" s="53">
        <f>+G39/F39*100%*100</f>
        <v>174.70131789629269</v>
      </c>
    </row>
    <row r="40" spans="1:14" ht="16.5" thickBot="1">
      <c r="A40" s="52" t="s">
        <v>71</v>
      </c>
      <c r="B40" s="50" t="s">
        <v>72</v>
      </c>
      <c r="C40" s="50"/>
      <c r="D40" s="48"/>
      <c r="E40" s="48"/>
      <c r="F40" s="66" t="s">
        <v>109</v>
      </c>
      <c r="G40" s="55">
        <f>+G39/F39*100%</f>
        <v>1.7470131789629268</v>
      </c>
      <c r="H40" s="55">
        <f>+G40-F40</f>
        <v>0.74701317896292685</v>
      </c>
    </row>
    <row r="41" spans="1:14" ht="15" thickBot="1">
      <c r="B41" s="58" t="s">
        <v>104</v>
      </c>
      <c r="C41" s="58"/>
      <c r="D41" s="59"/>
      <c r="E41" s="59"/>
      <c r="F41" s="59"/>
      <c r="G41" s="60"/>
      <c r="H41" s="60"/>
      <c r="I41" s="187"/>
      <c r="J41" s="187"/>
      <c r="K41" s="187"/>
      <c r="L41" s="187"/>
      <c r="M41" s="187"/>
    </row>
    <row r="42" spans="1:14" ht="14.25">
      <c r="B42" s="61" t="s">
        <v>105</v>
      </c>
      <c r="C42" s="61"/>
      <c r="D42" s="61"/>
      <c r="E42" s="61"/>
      <c r="F42" s="61"/>
      <c r="G42" s="60"/>
      <c r="H42" s="60"/>
      <c r="I42" s="217">
        <f>SUM(I9:I38)</f>
        <v>0</v>
      </c>
      <c r="J42" s="217">
        <f>SUM(J9:J38)</f>
        <v>1</v>
      </c>
      <c r="K42" s="217">
        <f>SUM(K9:K38)</f>
        <v>1</v>
      </c>
      <c r="L42" s="216">
        <f>SUM(L9:L38)</f>
        <v>28</v>
      </c>
      <c r="M42" s="44">
        <f>SUM(M9:M38)</f>
        <v>0</v>
      </c>
      <c r="N42">
        <f>+M42+L42+K42+J42+I42</f>
        <v>30</v>
      </c>
    </row>
    <row r="43" spans="1:14" ht="15">
      <c r="B43" s="61" t="s">
        <v>111</v>
      </c>
      <c r="C43" s="61"/>
      <c r="D43" s="62" t="s">
        <v>112</v>
      </c>
      <c r="E43" s="61" t="s">
        <v>113</v>
      </c>
      <c r="F43" s="61"/>
      <c r="G43" s="220" t="s">
        <v>112</v>
      </c>
      <c r="H43" s="214">
        <f>+L42</f>
        <v>28</v>
      </c>
      <c r="I43" s="77" t="s">
        <v>124</v>
      </c>
      <c r="J43" s="77" t="s">
        <v>123</v>
      </c>
      <c r="K43" s="197" t="s">
        <v>126</v>
      </c>
      <c r="L43" s="77" t="s">
        <v>125</v>
      </c>
      <c r="M43" s="197" t="s">
        <v>93</v>
      </c>
    </row>
    <row r="44" spans="1:14" ht="15">
      <c r="B44" s="61" t="s">
        <v>114</v>
      </c>
      <c r="C44" s="61"/>
      <c r="D44" s="62" t="s">
        <v>112</v>
      </c>
      <c r="E44" s="61" t="s">
        <v>115</v>
      </c>
      <c r="F44" s="61"/>
      <c r="G44" s="220" t="s">
        <v>112</v>
      </c>
      <c r="H44" s="215">
        <f>+K42</f>
        <v>1</v>
      </c>
    </row>
    <row r="45" spans="1:14" ht="15">
      <c r="B45" s="61" t="s">
        <v>157</v>
      </c>
      <c r="C45" s="61"/>
      <c r="D45" s="62" t="s">
        <v>112</v>
      </c>
      <c r="E45" s="63" t="s">
        <v>117</v>
      </c>
      <c r="F45" s="64"/>
      <c r="G45" s="220" t="s">
        <v>112</v>
      </c>
      <c r="H45" s="214">
        <f>+J42</f>
        <v>1</v>
      </c>
    </row>
    <row r="46" spans="1:14" ht="15">
      <c r="B46" s="175">
        <v>0</v>
      </c>
      <c r="C46" s="175"/>
      <c r="D46" s="62" t="s">
        <v>112</v>
      </c>
      <c r="E46" s="63" t="s">
        <v>155</v>
      </c>
      <c r="F46" s="64"/>
      <c r="G46" s="220" t="s">
        <v>112</v>
      </c>
      <c r="H46" s="215">
        <f>+I42</f>
        <v>0</v>
      </c>
    </row>
    <row r="47" spans="1:14" ht="15.75" thickBot="1">
      <c r="B47" s="175"/>
      <c r="C47" s="175"/>
      <c r="D47" s="62"/>
      <c r="E47" s="63"/>
      <c r="F47" s="64"/>
      <c r="G47" s="220" t="s">
        <v>112</v>
      </c>
      <c r="H47" s="218"/>
    </row>
    <row r="48" spans="1:14" ht="16.5" thickTop="1">
      <c r="B48" s="61"/>
      <c r="C48" s="61"/>
      <c r="D48" s="62"/>
      <c r="E48" s="63"/>
      <c r="F48" s="64"/>
      <c r="G48" s="252" t="s">
        <v>103</v>
      </c>
      <c r="H48" s="251">
        <f>SUM(H43:H47)</f>
        <v>30</v>
      </c>
    </row>
    <row r="66" spans="13:19" ht="15">
      <c r="M66" s="61"/>
      <c r="N66" s="61"/>
      <c r="O66" s="62"/>
      <c r="P66" s="63"/>
      <c r="Q66" s="64"/>
      <c r="R66" s="60"/>
      <c r="S66" s="60"/>
    </row>
    <row r="89" spans="12:12">
      <c r="L89" t="s">
        <v>71</v>
      </c>
    </row>
  </sheetData>
  <mergeCells count="3">
    <mergeCell ref="A2:H2"/>
    <mergeCell ref="A3:H3"/>
    <mergeCell ref="A4:H4"/>
  </mergeCells>
  <phoneticPr fontId="47" type="noConversion"/>
  <printOptions horizontalCentered="1" verticalCentered="1"/>
  <pageMargins left="0" right="0" top="0" bottom="0" header="0" footer="0"/>
  <pageSetup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34"/>
  <sheetViews>
    <sheetView topLeftCell="A13" workbookViewId="0"/>
  </sheetViews>
  <sheetFormatPr defaultRowHeight="12.75"/>
  <cols>
    <col min="1" max="1" width="7" customWidth="1"/>
    <col min="2" max="2" width="18.28515625" customWidth="1"/>
    <col min="3" max="3" width="15" customWidth="1"/>
    <col min="4" max="4" width="14.5703125" customWidth="1"/>
    <col min="5" max="5" width="13.5703125" customWidth="1"/>
    <col min="6" max="6" width="14.85546875" customWidth="1"/>
    <col min="7" max="7" width="13.42578125" customWidth="1"/>
    <col min="8" max="8" width="16.5703125" customWidth="1"/>
  </cols>
  <sheetData>
    <row r="2" spans="1:8" ht="21.75">
      <c r="A2" s="224" t="s">
        <v>127</v>
      </c>
      <c r="B2" s="224"/>
      <c r="C2" s="224"/>
      <c r="D2" s="224"/>
      <c r="E2" s="224"/>
      <c r="F2" s="224"/>
      <c r="G2" s="224"/>
    </row>
    <row r="3" spans="1:8" ht="21.75">
      <c r="A3" s="224" t="s">
        <v>128</v>
      </c>
      <c r="B3" s="225"/>
      <c r="C3" s="225"/>
      <c r="D3" s="225"/>
      <c r="E3" s="225"/>
      <c r="F3" s="225"/>
      <c r="G3" s="225"/>
    </row>
    <row r="4" spans="1:8" ht="21.75">
      <c r="A4" s="226" t="s">
        <v>129</v>
      </c>
      <c r="B4" s="226"/>
      <c r="C4" s="226"/>
      <c r="D4" s="226"/>
      <c r="E4" s="226"/>
      <c r="F4" s="226"/>
      <c r="G4" s="226"/>
    </row>
    <row r="5" spans="1:8" ht="13.5" thickBot="1"/>
    <row r="6" spans="1:8" ht="15.75">
      <c r="A6" s="227" t="s">
        <v>20</v>
      </c>
      <c r="B6" s="230" t="s">
        <v>1</v>
      </c>
      <c r="C6" s="231" t="s">
        <v>130</v>
      </c>
      <c r="D6" s="240"/>
      <c r="E6" s="231" t="s">
        <v>24</v>
      </c>
      <c r="F6" s="240"/>
      <c r="G6" s="233" t="s">
        <v>131</v>
      </c>
      <c r="H6" s="245" t="s">
        <v>83</v>
      </c>
    </row>
    <row r="7" spans="1:8" ht="19.5" thickBot="1">
      <c r="A7" s="241"/>
      <c r="B7" s="222"/>
      <c r="C7" s="3" t="s">
        <v>107</v>
      </c>
      <c r="D7" s="3" t="s">
        <v>132</v>
      </c>
      <c r="E7" s="3" t="s">
        <v>107</v>
      </c>
      <c r="F7" s="3" t="s">
        <v>132</v>
      </c>
      <c r="G7" s="239"/>
      <c r="H7" s="244"/>
    </row>
    <row r="8" spans="1:8" ht="16.5" thickBot="1">
      <c r="A8" s="70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71">
        <v>7</v>
      </c>
      <c r="H8" s="71">
        <v>8</v>
      </c>
    </row>
    <row r="9" spans="1:8" ht="15.75">
      <c r="A9" s="30">
        <v>1</v>
      </c>
      <c r="B9" s="28" t="s">
        <v>133</v>
      </c>
      <c r="C9" s="145">
        <v>79.69</v>
      </c>
      <c r="D9" s="147">
        <v>362.88900000000001</v>
      </c>
      <c r="E9" s="143">
        <v>77.709999999999994</v>
      </c>
      <c r="F9" s="148">
        <v>312.89999999999998</v>
      </c>
      <c r="G9" s="191">
        <f>+F9/D9</f>
        <v>0.86224713342096337</v>
      </c>
      <c r="H9" s="168"/>
    </row>
    <row r="10" spans="1:8" ht="15.75">
      <c r="A10" s="31">
        <f t="shared" ref="A10:A20" si="0">+A9+1</f>
        <v>2</v>
      </c>
      <c r="B10" s="8" t="s">
        <v>134</v>
      </c>
      <c r="C10" s="145">
        <v>83.91</v>
      </c>
      <c r="D10" s="147">
        <v>486.33300000000003</v>
      </c>
      <c r="E10" s="143">
        <v>80.900000000000006</v>
      </c>
      <c r="F10" s="148">
        <v>395.7</v>
      </c>
      <c r="G10" s="192">
        <f t="shared" ref="G10:G16" si="1">+F10/D10</f>
        <v>0.81364003676493257</v>
      </c>
      <c r="H10" s="168"/>
    </row>
    <row r="11" spans="1:8" ht="15.75">
      <c r="A11" s="31">
        <f t="shared" si="0"/>
        <v>3</v>
      </c>
      <c r="B11" s="8" t="s">
        <v>135</v>
      </c>
      <c r="C11" s="145">
        <v>86.31</v>
      </c>
      <c r="D11" s="147">
        <v>567.79999999999995</v>
      </c>
      <c r="E11" s="143">
        <v>82.34</v>
      </c>
      <c r="F11" s="148">
        <v>436.65199999999999</v>
      </c>
      <c r="G11" s="192">
        <f t="shared" si="1"/>
        <v>0.76902430433251145</v>
      </c>
      <c r="H11" s="168"/>
    </row>
    <row r="12" spans="1:8" ht="15.75">
      <c r="A12" s="31">
        <f t="shared" si="0"/>
        <v>4</v>
      </c>
      <c r="B12" s="8" t="s">
        <v>136</v>
      </c>
      <c r="C12" s="145">
        <v>89.45</v>
      </c>
      <c r="D12" s="147">
        <v>618.96</v>
      </c>
      <c r="E12" s="143">
        <v>86.59</v>
      </c>
      <c r="F12" s="148">
        <v>577.87099999999998</v>
      </c>
      <c r="G12" s="193">
        <f t="shared" si="1"/>
        <v>0.93361606565852384</v>
      </c>
      <c r="H12" s="168"/>
    </row>
    <row r="13" spans="1:8" ht="15.75">
      <c r="A13" s="31">
        <f t="shared" si="0"/>
        <v>5</v>
      </c>
      <c r="B13" s="8" t="s">
        <v>137</v>
      </c>
      <c r="C13" s="145">
        <v>88.24</v>
      </c>
      <c r="D13" s="147">
        <v>645.72</v>
      </c>
      <c r="E13" s="143">
        <v>86.92</v>
      </c>
      <c r="F13" s="148">
        <v>590.10799999999995</v>
      </c>
      <c r="G13" s="193">
        <f t="shared" si="1"/>
        <v>0.91387598339837683</v>
      </c>
      <c r="H13" s="168"/>
    </row>
    <row r="14" spans="1:8" ht="15.75">
      <c r="A14" s="31">
        <f t="shared" si="0"/>
        <v>6</v>
      </c>
      <c r="B14" s="8" t="s">
        <v>138</v>
      </c>
      <c r="C14" s="145">
        <v>86.96</v>
      </c>
      <c r="D14" s="147">
        <v>572.30999999999995</v>
      </c>
      <c r="E14" s="143">
        <v>84.84</v>
      </c>
      <c r="F14" s="148">
        <v>517.12099999999998</v>
      </c>
      <c r="G14" s="194">
        <f t="shared" si="1"/>
        <v>0.90356799636560614</v>
      </c>
      <c r="H14" s="168"/>
    </row>
    <row r="15" spans="1:8" ht="15.75">
      <c r="A15" s="31">
        <f t="shared" si="0"/>
        <v>7</v>
      </c>
      <c r="B15" s="8" t="s">
        <v>139</v>
      </c>
      <c r="C15" s="145">
        <v>85.92</v>
      </c>
      <c r="D15" s="147">
        <v>556.20000000000005</v>
      </c>
      <c r="E15" s="143">
        <v>81.42</v>
      </c>
      <c r="F15" s="148">
        <v>410.49099999999999</v>
      </c>
      <c r="G15" s="194">
        <f t="shared" si="1"/>
        <v>0.73802768788205675</v>
      </c>
      <c r="H15" s="168"/>
    </row>
    <row r="16" spans="1:8" ht="15.75">
      <c r="A16" s="31">
        <f t="shared" si="0"/>
        <v>8</v>
      </c>
      <c r="B16" s="18" t="s">
        <v>140</v>
      </c>
      <c r="C16" s="145">
        <v>84.57</v>
      </c>
      <c r="D16" s="147">
        <v>502.4</v>
      </c>
      <c r="E16" s="143">
        <v>80.56</v>
      </c>
      <c r="F16" s="148">
        <v>386.26600000000002</v>
      </c>
      <c r="G16" s="195">
        <f t="shared" si="1"/>
        <v>0.76884156050955421</v>
      </c>
      <c r="H16" s="168"/>
    </row>
    <row r="17" spans="1:8" ht="15.75">
      <c r="A17" s="31">
        <f t="shared" si="0"/>
        <v>9</v>
      </c>
      <c r="B17" s="18" t="s">
        <v>141</v>
      </c>
      <c r="C17" s="15"/>
      <c r="D17" s="84"/>
      <c r="E17" s="83"/>
      <c r="F17" s="16"/>
      <c r="G17" s="74"/>
      <c r="H17" s="168"/>
    </row>
    <row r="18" spans="1:8" ht="15.75">
      <c r="A18" s="31">
        <f t="shared" si="0"/>
        <v>10</v>
      </c>
      <c r="B18" s="18" t="s">
        <v>142</v>
      </c>
      <c r="C18" s="15"/>
      <c r="D18" s="84"/>
      <c r="E18" s="83"/>
      <c r="F18" s="16"/>
      <c r="G18" s="74"/>
      <c r="H18" s="168"/>
    </row>
    <row r="19" spans="1:8" ht="15.75">
      <c r="A19" s="31">
        <f t="shared" si="0"/>
        <v>11</v>
      </c>
      <c r="B19" s="18" t="s">
        <v>143</v>
      </c>
      <c r="C19" s="15"/>
      <c r="D19" s="84"/>
      <c r="E19" s="83"/>
      <c r="F19" s="16"/>
      <c r="G19" s="74"/>
      <c r="H19" s="168"/>
    </row>
    <row r="20" spans="1:8" ht="16.5" thickBot="1">
      <c r="A20" s="31">
        <f t="shared" si="0"/>
        <v>12</v>
      </c>
      <c r="B20" s="18" t="s">
        <v>144</v>
      </c>
      <c r="C20" s="15"/>
      <c r="D20" s="84"/>
      <c r="E20" s="83"/>
      <c r="F20" s="16"/>
      <c r="G20" s="75"/>
      <c r="H20" s="168"/>
    </row>
    <row r="21" spans="1:8" ht="16.5" thickBot="1">
      <c r="A21" s="19"/>
      <c r="B21" s="21"/>
      <c r="C21" s="20"/>
      <c r="D21" s="29"/>
      <c r="E21" s="29"/>
      <c r="F21" s="57"/>
      <c r="G21" s="76"/>
      <c r="H21" s="169"/>
    </row>
    <row r="22" spans="1:8" ht="16.5" thickBot="1">
      <c r="A22" s="19"/>
      <c r="B22" s="21"/>
      <c r="C22" s="20"/>
      <c r="D22" s="29"/>
      <c r="E22" s="65"/>
      <c r="F22" s="55"/>
      <c r="G22" s="55"/>
      <c r="H22" s="170"/>
    </row>
    <row r="34" spans="8:8">
      <c r="H34" s="47"/>
    </row>
  </sheetData>
  <phoneticPr fontId="47" type="noConversion"/>
  <pageMargins left="0.7" right="0.7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H47"/>
  <sheetViews>
    <sheetView topLeftCell="A4" workbookViewId="0">
      <selection activeCell="G16" sqref="G16"/>
    </sheetView>
  </sheetViews>
  <sheetFormatPr defaultRowHeight="12.75"/>
  <cols>
    <col min="2" max="2" width="12.42578125" customWidth="1"/>
    <col min="3" max="3" width="13" customWidth="1"/>
    <col min="4" max="4" width="14.140625" customWidth="1"/>
    <col min="5" max="5" width="13.7109375" customWidth="1"/>
    <col min="6" max="6" width="13.5703125" customWidth="1"/>
    <col min="7" max="7" width="13" customWidth="1"/>
    <col min="8" max="8" width="19.85546875" customWidth="1"/>
  </cols>
  <sheetData>
    <row r="2" spans="2:8" ht="19.5">
      <c r="B2" s="223" t="s">
        <v>0</v>
      </c>
      <c r="C2" s="223"/>
      <c r="D2" s="223"/>
      <c r="E2" s="223"/>
      <c r="F2" s="223"/>
      <c r="G2" s="223"/>
    </row>
    <row r="3" spans="2:8" ht="13.5" thickBot="1"/>
    <row r="4" spans="2:8" ht="18.75" thickBot="1">
      <c r="B4" s="208" t="s">
        <v>1</v>
      </c>
      <c r="C4" s="209">
        <v>2009</v>
      </c>
      <c r="D4" s="209">
        <v>2010</v>
      </c>
      <c r="E4" s="209">
        <v>2011</v>
      </c>
      <c r="F4" s="452">
        <v>2012</v>
      </c>
      <c r="G4" s="452">
        <v>2013</v>
      </c>
    </row>
    <row r="5" spans="2:8" ht="21" customHeight="1" thickBot="1">
      <c r="B5" s="134" t="s">
        <v>2</v>
      </c>
      <c r="C5" s="210">
        <v>38.625</v>
      </c>
      <c r="D5" s="210">
        <v>23.05</v>
      </c>
      <c r="E5" s="448">
        <v>23.05</v>
      </c>
      <c r="F5" s="453">
        <v>26.94</v>
      </c>
      <c r="G5" s="455">
        <v>38.625</v>
      </c>
    </row>
    <row r="6" spans="2:8" ht="21" customHeight="1" thickBot="1">
      <c r="B6" s="135" t="s">
        <v>3</v>
      </c>
      <c r="C6" s="211">
        <v>43.75</v>
      </c>
      <c r="D6" s="211">
        <v>33.5</v>
      </c>
      <c r="E6" s="449">
        <v>33.5</v>
      </c>
      <c r="F6" s="454">
        <v>36.78</v>
      </c>
      <c r="G6" s="455">
        <v>37.6</v>
      </c>
    </row>
    <row r="7" spans="2:8" ht="21" customHeight="1" thickBot="1">
      <c r="B7" s="135" t="s">
        <v>4</v>
      </c>
      <c r="C7" s="211">
        <v>44.85</v>
      </c>
      <c r="D7" s="211">
        <v>49.695</v>
      </c>
      <c r="E7" s="449">
        <v>49.695</v>
      </c>
      <c r="F7" s="454">
        <v>30.63</v>
      </c>
      <c r="G7" s="455">
        <v>41.7</v>
      </c>
    </row>
    <row r="8" spans="2:8" ht="21" customHeight="1" thickBot="1">
      <c r="B8" s="135" t="s">
        <v>5</v>
      </c>
      <c r="C8" s="211">
        <v>25.704000000000001</v>
      </c>
      <c r="D8" s="211">
        <v>54.39</v>
      </c>
      <c r="E8" s="449">
        <v>54.39</v>
      </c>
      <c r="F8" s="454">
        <v>36.784999999999997</v>
      </c>
      <c r="G8" s="455">
        <v>46.2</v>
      </c>
    </row>
    <row r="9" spans="2:8" ht="21" customHeight="1" thickBot="1">
      <c r="B9" s="135" t="s">
        <v>6</v>
      </c>
      <c r="C9" s="211">
        <v>44.57</v>
      </c>
      <c r="D9" s="211">
        <v>48.875</v>
      </c>
      <c r="E9" s="449">
        <v>48.875</v>
      </c>
      <c r="F9" s="454">
        <v>40.880000000000003</v>
      </c>
      <c r="G9" s="455">
        <v>47.44</v>
      </c>
      <c r="H9" s="246"/>
    </row>
    <row r="10" spans="2:8" ht="21" customHeight="1" thickBot="1">
      <c r="B10" s="135" t="s">
        <v>7</v>
      </c>
      <c r="C10" s="211">
        <v>41.085000000000001</v>
      </c>
      <c r="D10" s="211">
        <v>42.5</v>
      </c>
      <c r="E10" s="449">
        <v>42.5</v>
      </c>
      <c r="F10" s="454">
        <v>26.408000000000001</v>
      </c>
      <c r="G10" s="455">
        <v>43.134</v>
      </c>
    </row>
    <row r="11" spans="2:8" ht="21" customHeight="1" thickBot="1">
      <c r="B11" s="135" t="s">
        <v>8</v>
      </c>
      <c r="C11" s="211">
        <v>35.14</v>
      </c>
      <c r="D11" s="211">
        <v>33.295000000000002</v>
      </c>
      <c r="E11" s="449">
        <v>33.295000000000002</v>
      </c>
      <c r="F11" s="454">
        <v>19.600000000000001</v>
      </c>
      <c r="G11" s="455">
        <v>29.047999999999998</v>
      </c>
    </row>
    <row r="12" spans="2:8" ht="21" customHeight="1" thickBot="1">
      <c r="B12" s="135" t="s">
        <v>9</v>
      </c>
      <c r="C12" s="211">
        <v>18.8</v>
      </c>
      <c r="D12" s="211">
        <v>26.056000000000001</v>
      </c>
      <c r="E12" s="449">
        <v>26.056000000000001</v>
      </c>
      <c r="F12" s="454">
        <v>18.64</v>
      </c>
      <c r="G12" s="455">
        <v>19.600000000000001</v>
      </c>
    </row>
    <row r="13" spans="2:8" ht="21" customHeight="1" thickBot="1">
      <c r="B13" s="135" t="s">
        <v>10</v>
      </c>
      <c r="C13" s="211">
        <v>20.88</v>
      </c>
      <c r="D13" s="211">
        <v>25.55</v>
      </c>
      <c r="E13" s="449">
        <v>25.55</v>
      </c>
      <c r="F13" s="454">
        <v>16.32</v>
      </c>
      <c r="G13" s="455">
        <v>15.48</v>
      </c>
    </row>
    <row r="14" spans="2:8" ht="21" customHeight="1" thickBot="1">
      <c r="B14" s="135" t="s">
        <v>11</v>
      </c>
      <c r="C14" s="212">
        <v>20.7</v>
      </c>
      <c r="D14" s="212">
        <v>24.7</v>
      </c>
      <c r="E14" s="450">
        <v>24.7</v>
      </c>
      <c r="F14" s="454">
        <v>16.04</v>
      </c>
      <c r="G14" s="455">
        <v>16.04</v>
      </c>
    </row>
    <row r="15" spans="2:8" ht="21" customHeight="1" thickBot="1">
      <c r="B15" s="135" t="s">
        <v>12</v>
      </c>
      <c r="C15" s="212">
        <v>21.84</v>
      </c>
      <c r="D15" s="212">
        <v>19.920000000000002</v>
      </c>
      <c r="E15" s="450">
        <v>19.920000000000002</v>
      </c>
      <c r="F15" s="454">
        <v>19.440000000000001</v>
      </c>
      <c r="G15" s="455">
        <v>17.3</v>
      </c>
    </row>
    <row r="16" spans="2:8" ht="21" customHeight="1" thickBot="1">
      <c r="B16" s="136" t="s">
        <v>13</v>
      </c>
      <c r="C16" s="213">
        <v>28.52</v>
      </c>
      <c r="D16" s="213">
        <v>15.34</v>
      </c>
      <c r="E16" s="213">
        <v>25.527999999999999</v>
      </c>
      <c r="F16" s="451">
        <v>25.527999999999999</v>
      </c>
      <c r="G16" s="455">
        <f>+UTAMA!I15</f>
        <v>18.8</v>
      </c>
    </row>
    <row r="46" spans="2:3">
      <c r="B46" s="79" t="s">
        <v>14</v>
      </c>
      <c r="C46" s="79"/>
    </row>
    <row r="47" spans="2:3">
      <c r="B47" s="79" t="s">
        <v>15</v>
      </c>
    </row>
  </sheetData>
  <phoneticPr fontId="47" type="noConversion"/>
  <pageMargins left="1.1811023622047201" right="0.196850393700787" top="0.55118110236220497" bottom="0.59055118110236204" header="0.511811023622047" footer="0.511811023622047"/>
  <pageSetup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G51"/>
  <sheetViews>
    <sheetView topLeftCell="A37" zoomScale="130" zoomScaleNormal="130" workbookViewId="0">
      <selection activeCell="A2" sqref="A2:H52"/>
    </sheetView>
  </sheetViews>
  <sheetFormatPr defaultRowHeight="12.75"/>
  <cols>
    <col min="1" max="1" width="2" customWidth="1"/>
    <col min="2" max="2" width="11.5703125" customWidth="1"/>
    <col min="3" max="3" width="11.42578125" customWidth="1"/>
    <col min="4" max="4" width="11" customWidth="1"/>
    <col min="5" max="6" width="11.7109375" customWidth="1"/>
    <col min="7" max="7" width="11.42578125" customWidth="1"/>
    <col min="8" max="8" width="2.5703125" customWidth="1"/>
  </cols>
  <sheetData>
    <row r="3" spans="2:7" ht="19.5">
      <c r="B3" s="223" t="s">
        <v>16</v>
      </c>
      <c r="C3" s="223"/>
      <c r="D3" s="223"/>
      <c r="E3" s="223"/>
      <c r="F3" s="223"/>
      <c r="G3" s="223"/>
    </row>
    <row r="4" spans="2:7" ht="13.5" thickBot="1"/>
    <row r="5" spans="2:7" ht="24.95" customHeight="1" thickBot="1">
      <c r="B5" s="101" t="s">
        <v>1</v>
      </c>
      <c r="C5" s="130" t="s">
        <v>17</v>
      </c>
      <c r="D5" s="207" t="s">
        <v>150</v>
      </c>
      <c r="E5" s="207" t="s">
        <v>156</v>
      </c>
      <c r="F5" s="457" t="s">
        <v>158</v>
      </c>
      <c r="G5" s="457" t="s">
        <v>162</v>
      </c>
    </row>
    <row r="6" spans="2:7" ht="18.95" customHeight="1" thickBot="1">
      <c r="B6" s="86" t="s">
        <v>2</v>
      </c>
      <c r="C6" s="90">
        <v>18.22</v>
      </c>
      <c r="D6" s="90">
        <v>16.34</v>
      </c>
      <c r="E6" s="456">
        <v>20.74</v>
      </c>
      <c r="F6" s="458">
        <v>16.97</v>
      </c>
      <c r="G6" s="458">
        <v>19.86</v>
      </c>
    </row>
    <row r="7" spans="2:7" ht="18.95" customHeight="1" thickBot="1">
      <c r="B7" s="87" t="s">
        <v>3</v>
      </c>
      <c r="C7" s="91">
        <v>16.989999999999998</v>
      </c>
      <c r="D7" s="91">
        <v>21.28</v>
      </c>
      <c r="E7" s="343">
        <v>13.93</v>
      </c>
      <c r="F7" s="459">
        <v>19.399999999999999</v>
      </c>
      <c r="G7" s="458">
        <v>13.22</v>
      </c>
    </row>
    <row r="8" spans="2:7" ht="18.95" customHeight="1" thickBot="1">
      <c r="B8" s="87" t="s">
        <v>4</v>
      </c>
      <c r="C8" s="91">
        <v>20.87</v>
      </c>
      <c r="D8" s="91">
        <v>17.73</v>
      </c>
      <c r="E8" s="343">
        <v>19.43</v>
      </c>
      <c r="F8" s="459">
        <v>13.01</v>
      </c>
      <c r="G8" s="458">
        <v>12.61</v>
      </c>
    </row>
    <row r="9" spans="2:7" ht="18.95" customHeight="1" thickBot="1">
      <c r="B9" s="87" t="s">
        <v>5</v>
      </c>
      <c r="C9" s="91">
        <v>22.52</v>
      </c>
      <c r="D9" s="91">
        <v>19.04</v>
      </c>
      <c r="E9" s="343">
        <v>28.03</v>
      </c>
      <c r="F9" s="459">
        <v>17.420000000000002</v>
      </c>
      <c r="G9" s="458">
        <v>11.44</v>
      </c>
    </row>
    <row r="10" spans="2:7" ht="18.95" customHeight="1" thickBot="1">
      <c r="B10" s="87" t="s">
        <v>6</v>
      </c>
      <c r="C10" s="91">
        <v>28.06</v>
      </c>
      <c r="D10" s="91">
        <v>21.96</v>
      </c>
      <c r="E10" s="343">
        <v>23.29</v>
      </c>
      <c r="F10" s="459">
        <v>18.600000000000001</v>
      </c>
      <c r="G10" s="458">
        <v>22.67</v>
      </c>
    </row>
    <row r="11" spans="2:7" ht="18.95" customHeight="1" thickBot="1">
      <c r="B11" s="87" t="s">
        <v>7</v>
      </c>
      <c r="C11" s="91">
        <v>28.98</v>
      </c>
      <c r="D11" s="91">
        <v>21.62</v>
      </c>
      <c r="E11" s="343">
        <v>13.55</v>
      </c>
      <c r="F11" s="459">
        <v>13.09</v>
      </c>
      <c r="G11" s="458">
        <v>15.58</v>
      </c>
    </row>
    <row r="12" spans="2:7" ht="18.95" customHeight="1" thickBot="1">
      <c r="B12" s="87" t="s">
        <v>8</v>
      </c>
      <c r="C12" s="91">
        <v>30.69</v>
      </c>
      <c r="D12" s="91">
        <v>29.16</v>
      </c>
      <c r="E12" s="343">
        <v>30</v>
      </c>
      <c r="F12" s="459">
        <v>27.16</v>
      </c>
      <c r="G12" s="458">
        <v>23.06</v>
      </c>
    </row>
    <row r="13" spans="2:7" ht="18.95" customHeight="1" thickBot="1">
      <c r="B13" s="87" t="s">
        <v>9</v>
      </c>
      <c r="C13" s="91">
        <v>29.91</v>
      </c>
      <c r="D13" s="91">
        <v>27.9</v>
      </c>
      <c r="E13" s="343">
        <v>27.95</v>
      </c>
      <c r="F13" s="459">
        <v>21.03</v>
      </c>
      <c r="G13" s="458">
        <v>21.6</v>
      </c>
    </row>
    <row r="14" spans="2:7" ht="18.95" customHeight="1" thickBot="1">
      <c r="B14" s="87" t="s">
        <v>10</v>
      </c>
      <c r="C14" s="91">
        <v>27.32</v>
      </c>
      <c r="D14" s="91">
        <v>28.92</v>
      </c>
      <c r="E14" s="343">
        <v>29.45</v>
      </c>
      <c r="F14" s="459">
        <v>19.66</v>
      </c>
      <c r="G14" s="458">
        <v>16.739999999999998</v>
      </c>
    </row>
    <row r="15" spans="2:7" ht="18.95" customHeight="1" thickBot="1">
      <c r="B15" s="87" t="s">
        <v>11</v>
      </c>
      <c r="C15" s="91">
        <v>24.81</v>
      </c>
      <c r="D15" s="91">
        <v>27.82</v>
      </c>
      <c r="E15" s="343">
        <v>29.05</v>
      </c>
      <c r="F15" s="459">
        <v>16.36</v>
      </c>
      <c r="G15" s="458">
        <v>17.63</v>
      </c>
    </row>
    <row r="16" spans="2:7" ht="18.95" customHeight="1" thickBot="1">
      <c r="B16" s="87" t="s">
        <v>12</v>
      </c>
      <c r="C16" s="91">
        <v>16.559999999999999</v>
      </c>
      <c r="D16" s="91">
        <v>22.94</v>
      </c>
      <c r="E16" s="343">
        <v>22.65</v>
      </c>
      <c r="F16" s="459">
        <v>19.91</v>
      </c>
      <c r="G16" s="458">
        <v>12.47</v>
      </c>
    </row>
    <row r="17" spans="2:7" ht="18.95" customHeight="1" thickBot="1">
      <c r="B17" s="88" t="s">
        <v>13</v>
      </c>
      <c r="C17" s="92">
        <v>22.07</v>
      </c>
      <c r="D17" s="92">
        <v>19.97</v>
      </c>
      <c r="E17" s="344">
        <v>24.5</v>
      </c>
      <c r="F17" s="460">
        <v>15.88</v>
      </c>
      <c r="G17" s="458">
        <f>+UTAMA!I49</f>
        <v>18.350000000000001</v>
      </c>
    </row>
    <row r="38" spans="1:1">
      <c r="A38" s="77"/>
    </row>
    <row r="49" spans="2:3">
      <c r="B49" s="79"/>
    </row>
    <row r="50" spans="2:3">
      <c r="B50" s="79" t="s">
        <v>14</v>
      </c>
      <c r="C50" s="79"/>
    </row>
    <row r="51" spans="2:3">
      <c r="B51" s="79" t="s">
        <v>15</v>
      </c>
    </row>
  </sheetData>
  <phoneticPr fontId="47" type="noConversion"/>
  <printOptions horizontalCentered="1"/>
  <pageMargins left="0.64173228299999996" right="0.15748031496063" top="0.55118110236220497" bottom="0.511811023622047" header="0.511811023622047" footer="0.511811023622047"/>
  <pageSetup scale="90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65"/>
  <sheetViews>
    <sheetView workbookViewId="0">
      <selection activeCell="I11" sqref="I11"/>
    </sheetView>
  </sheetViews>
  <sheetFormatPr defaultRowHeight="12.75"/>
  <cols>
    <col min="1" max="1" width="6.28515625" customWidth="1"/>
    <col min="2" max="2" width="18.5703125" customWidth="1"/>
    <col min="3" max="3" width="16.5703125" customWidth="1"/>
    <col min="4" max="5" width="15.140625" customWidth="1"/>
    <col min="6" max="6" width="14.7109375" customWidth="1"/>
    <col min="7" max="7" width="14.28515625" customWidth="1"/>
    <col min="8" max="8" width="15.140625" customWidth="1"/>
    <col min="9" max="9" width="16.28515625" customWidth="1"/>
    <col min="10" max="10" width="16.5703125" customWidth="1"/>
    <col min="11" max="11" width="14.5703125" customWidth="1"/>
    <col min="12" max="13" width="17" customWidth="1"/>
    <col min="14" max="14" width="15.42578125" customWidth="1"/>
  </cols>
  <sheetData>
    <row r="3" spans="1:14" ht="21.75">
      <c r="A3" s="224" t="s">
        <v>18</v>
      </c>
      <c r="B3" s="225"/>
      <c r="C3" s="225"/>
      <c r="D3" s="225"/>
      <c r="E3" s="225"/>
      <c r="F3" s="225"/>
      <c r="G3" s="225"/>
      <c r="H3" s="225"/>
      <c r="I3" s="225"/>
    </row>
    <row r="4" spans="1:14" ht="21.75">
      <c r="A4" s="224" t="s">
        <v>19</v>
      </c>
      <c r="B4" s="225"/>
      <c r="C4" s="225"/>
      <c r="D4" s="225"/>
      <c r="E4" s="225"/>
      <c r="F4" s="225"/>
      <c r="G4" s="225"/>
      <c r="H4" s="225"/>
      <c r="I4" s="225"/>
    </row>
    <row r="5" spans="1:14" ht="21.75">
      <c r="A5" s="226" t="str">
        <f>+UTAMA!A6</f>
        <v>MINGGU   KE V  DESEMBER  2013</v>
      </c>
      <c r="B5" s="226"/>
      <c r="C5" s="226"/>
      <c r="D5" s="226"/>
      <c r="E5" s="226"/>
      <c r="F5" s="226"/>
      <c r="G5" s="226"/>
      <c r="H5" s="226"/>
      <c r="I5" s="226"/>
    </row>
    <row r="6" spans="1:14" ht="13.5" thickBot="1"/>
    <row r="7" spans="1:14" ht="15.75">
      <c r="A7" s="227" t="s">
        <v>20</v>
      </c>
      <c r="B7" s="230" t="s">
        <v>21</v>
      </c>
      <c r="C7" s="231" t="s">
        <v>22</v>
      </c>
      <c r="D7" s="232"/>
      <c r="E7" s="231" t="s">
        <v>23</v>
      </c>
      <c r="F7" s="232"/>
      <c r="G7" s="231" t="s">
        <v>24</v>
      </c>
      <c r="H7" s="232"/>
      <c r="I7" s="233" t="s">
        <v>25</v>
      </c>
    </row>
    <row r="8" spans="1:14" ht="15.75">
      <c r="A8" s="228"/>
      <c r="B8" s="222"/>
      <c r="C8" s="4" t="s">
        <v>26</v>
      </c>
      <c r="D8" s="4" t="s">
        <v>27</v>
      </c>
      <c r="E8" s="3" t="s">
        <v>26</v>
      </c>
      <c r="F8" s="4" t="s">
        <v>27</v>
      </c>
      <c r="G8" s="3" t="s">
        <v>26</v>
      </c>
      <c r="H8" s="4" t="s">
        <v>27</v>
      </c>
      <c r="I8" s="234"/>
    </row>
    <row r="9" spans="1:14" ht="19.5" thickBot="1">
      <c r="A9" s="229"/>
      <c r="B9" s="221"/>
      <c r="C9" s="2" t="s">
        <v>28</v>
      </c>
      <c r="D9" s="2" t="s">
        <v>29</v>
      </c>
      <c r="E9" s="72" t="s">
        <v>28</v>
      </c>
      <c r="F9" s="2" t="s">
        <v>29</v>
      </c>
      <c r="G9" s="72" t="s">
        <v>28</v>
      </c>
      <c r="H9" s="2" t="s">
        <v>29</v>
      </c>
      <c r="I9" s="123" t="s">
        <v>30</v>
      </c>
    </row>
    <row r="10" spans="1:14" ht="16.5" thickBot="1">
      <c r="A10" s="70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71">
        <v>9</v>
      </c>
    </row>
    <row r="11" spans="1:14" ht="15.75">
      <c r="A11" s="89">
        <v>1</v>
      </c>
      <c r="B11" s="5" t="s">
        <v>31</v>
      </c>
      <c r="C11" s="6">
        <f>+UTAMA!D12</f>
        <v>55.75</v>
      </c>
      <c r="D11" s="7">
        <f>+UTAMA!E12</f>
        <v>37.046999999999997</v>
      </c>
      <c r="E11" s="14">
        <f>+UTAMA!F12</f>
        <v>49.4</v>
      </c>
      <c r="F11" s="17">
        <f>+UTAMA!G12</f>
        <v>5.2549999999999999</v>
      </c>
      <c r="G11" s="6">
        <f>+UTAMA!H12</f>
        <v>50.66</v>
      </c>
      <c r="H11" s="17">
        <f>+UTAMA!I12</f>
        <v>8.7780000000000005</v>
      </c>
      <c r="I11" s="110">
        <v>35162</v>
      </c>
      <c r="K11" s="116"/>
      <c r="L11" s="116"/>
      <c r="M11" s="116"/>
      <c r="N11" s="117"/>
    </row>
    <row r="12" spans="1:14" ht="15.75">
      <c r="A12" s="31">
        <f>+A11+1</f>
        <v>2</v>
      </c>
      <c r="B12" s="8" t="s">
        <v>32</v>
      </c>
      <c r="C12" s="9">
        <f>+UTAMA!D13</f>
        <v>339.5</v>
      </c>
      <c r="D12" s="10">
        <f>+UTAMA!E13</f>
        <v>7.77</v>
      </c>
      <c r="E12" s="36">
        <f>+UTAMA!F13</f>
        <v>336.59</v>
      </c>
      <c r="F12" s="10">
        <f>+UTAMA!G13</f>
        <v>5.2530000000000001</v>
      </c>
      <c r="G12" s="9">
        <f>+UTAMA!H13</f>
        <v>339.48</v>
      </c>
      <c r="H12" s="10">
        <f>+UTAMA!I13</f>
        <v>7.7549999999999999</v>
      </c>
      <c r="I12" s="111">
        <v>28310</v>
      </c>
      <c r="K12" s="116"/>
      <c r="L12" s="116"/>
      <c r="M12" s="116"/>
      <c r="N12" s="117"/>
    </row>
    <row r="13" spans="1:14" ht="15.75">
      <c r="A13" s="31">
        <f t="shared" ref="A13:A48" si="0">+A12+1</f>
        <v>3</v>
      </c>
      <c r="B13" s="8" t="s">
        <v>33</v>
      </c>
      <c r="C13" s="9">
        <f>+UTAMA!D14</f>
        <v>77.5</v>
      </c>
      <c r="D13" s="10">
        <f>+UTAMA!E14</f>
        <v>49.02</v>
      </c>
      <c r="E13" s="9">
        <f>+UTAMA!F14</f>
        <v>68.95</v>
      </c>
      <c r="F13" s="10">
        <f>+UTAMA!G14</f>
        <v>10.069000000000001</v>
      </c>
      <c r="G13" s="9">
        <f>+UTAMA!H14</f>
        <v>72.92</v>
      </c>
      <c r="H13" s="10">
        <f>+UTAMA!I14</f>
        <v>23.931999999999999</v>
      </c>
      <c r="I13" s="111">
        <v>17481</v>
      </c>
      <c r="K13" s="116"/>
      <c r="L13" s="116"/>
      <c r="M13" s="116"/>
      <c r="N13" s="117"/>
    </row>
    <row r="14" spans="1:14" ht="15.75">
      <c r="A14" s="31">
        <f t="shared" si="0"/>
        <v>4</v>
      </c>
      <c r="B14" s="8" t="s">
        <v>34</v>
      </c>
      <c r="C14" s="9">
        <f>+UTAMA!D15</f>
        <v>463.3</v>
      </c>
      <c r="D14" s="10">
        <f>+UTAMA!E15</f>
        <v>49.9</v>
      </c>
      <c r="E14" s="43">
        <f>+UTAMA!G15</f>
        <v>19.920000000000002</v>
      </c>
      <c r="F14" s="10">
        <f>+UTAMA!G15</f>
        <v>19.920000000000002</v>
      </c>
      <c r="G14" s="9">
        <f>+UTAMA!H15</f>
        <v>461.65</v>
      </c>
      <c r="H14" s="10">
        <f>+UTAMA!I15</f>
        <v>18.8</v>
      </c>
      <c r="I14" s="111">
        <v>19972</v>
      </c>
      <c r="K14" s="116"/>
      <c r="L14" s="116"/>
      <c r="M14" s="116"/>
      <c r="N14" s="117"/>
    </row>
    <row r="15" spans="1:14" ht="15.75">
      <c r="A15" s="31">
        <f t="shared" si="0"/>
        <v>5</v>
      </c>
      <c r="B15" s="8" t="s">
        <v>35</v>
      </c>
      <c r="C15" s="9">
        <f>+UTAMA!D16</f>
        <v>207</v>
      </c>
      <c r="D15" s="10">
        <f>+UTAMA!E16</f>
        <v>9.5030000000000001</v>
      </c>
      <c r="E15" s="43">
        <f>+UTAMA!G16</f>
        <v>2.6</v>
      </c>
      <c r="F15" s="10">
        <f>+UTAMA!G16</f>
        <v>2.6</v>
      </c>
      <c r="G15" s="9">
        <f>+UTAMA!H16</f>
        <v>199.99</v>
      </c>
      <c r="H15" s="10">
        <f>+UTAMA!I16</f>
        <v>3.278</v>
      </c>
      <c r="I15" s="111">
        <v>4959</v>
      </c>
      <c r="K15" s="116"/>
      <c r="L15" s="116"/>
      <c r="M15" s="116"/>
      <c r="N15" s="117"/>
    </row>
    <row r="16" spans="1:14" ht="15.75">
      <c r="A16" s="31">
        <f t="shared" si="0"/>
        <v>6</v>
      </c>
      <c r="B16" s="8" t="s">
        <v>36</v>
      </c>
      <c r="C16" s="9">
        <f>+UTAMA!D17</f>
        <v>320</v>
      </c>
      <c r="D16" s="10">
        <f>+UTAMA!E17</f>
        <v>5.1509999999999998</v>
      </c>
      <c r="E16" s="43">
        <f>+UTAMA!G17</f>
        <v>1.58</v>
      </c>
      <c r="F16" s="10">
        <f>+UTAMA!G17</f>
        <v>1.58</v>
      </c>
      <c r="G16" s="9">
        <f>+UTAMA!H17</f>
        <v>311.87</v>
      </c>
      <c r="H16" s="10">
        <f>+UTAMA!I17</f>
        <v>1.7829999999999999</v>
      </c>
      <c r="I16" s="111">
        <v>6052</v>
      </c>
      <c r="K16" s="116"/>
      <c r="L16" s="116"/>
      <c r="M16" s="116"/>
      <c r="N16" s="117"/>
    </row>
    <row r="17" spans="1:14" ht="15.75">
      <c r="A17" s="31">
        <f t="shared" si="0"/>
        <v>7</v>
      </c>
      <c r="B17" s="8" t="s">
        <v>37</v>
      </c>
      <c r="C17" s="9">
        <f>+UTAMA!D18</f>
        <v>90</v>
      </c>
      <c r="D17" s="10">
        <f>+UTAMA!E18</f>
        <v>723.16</v>
      </c>
      <c r="E17" s="43">
        <f>+UTAMA!F18</f>
        <v>77.599999999999994</v>
      </c>
      <c r="F17" s="10">
        <f>+UTAMA!G18</f>
        <v>299.5</v>
      </c>
      <c r="G17" s="9">
        <f>+UTAMA!H18</f>
        <v>81.23</v>
      </c>
      <c r="H17" s="10">
        <f>+UTAMA!I18</f>
        <v>384.69600000000003</v>
      </c>
      <c r="I17" s="112">
        <v>59645</v>
      </c>
      <c r="K17" s="116"/>
      <c r="L17" s="116"/>
      <c r="M17" s="116"/>
      <c r="N17" s="118"/>
    </row>
    <row r="18" spans="1:14" ht="15.75">
      <c r="A18" s="31">
        <f t="shared" si="0"/>
        <v>8</v>
      </c>
      <c r="B18" s="8" t="s">
        <v>38</v>
      </c>
      <c r="C18" s="9">
        <f>+UTAMA!D19</f>
        <v>120.5</v>
      </c>
      <c r="D18" s="10">
        <f>+UTAMA!E19</f>
        <v>2.0920000000000001</v>
      </c>
      <c r="E18" s="43">
        <f>+UTAMA!F19</f>
        <v>116</v>
      </c>
      <c r="F18" s="10">
        <f>+UTAMA!G19</f>
        <v>0.61</v>
      </c>
      <c r="G18" s="9">
        <f>+UTAMA!H19</f>
        <v>115.54</v>
      </c>
      <c r="H18" s="10">
        <f>+UTAMA!I19</f>
        <v>0.46200000000000002</v>
      </c>
      <c r="I18" s="113">
        <v>923</v>
      </c>
      <c r="K18" s="116"/>
      <c r="L18" s="116"/>
      <c r="M18" s="119"/>
      <c r="N18" s="118"/>
    </row>
    <row r="19" spans="1:14" ht="15.75">
      <c r="A19" s="31">
        <f t="shared" si="0"/>
        <v>9</v>
      </c>
      <c r="B19" s="8" t="s">
        <v>39</v>
      </c>
      <c r="C19" s="9">
        <f>+UTAMA!D20</f>
        <v>120.8</v>
      </c>
      <c r="D19" s="10">
        <f>+UTAMA!E20</f>
        <v>2.3530000000000002</v>
      </c>
      <c r="E19" s="43">
        <f>+UTAMA!F20</f>
        <v>115.06</v>
      </c>
      <c r="F19" s="10">
        <f>+UTAMA!G20</f>
        <v>0.71</v>
      </c>
      <c r="G19" s="9">
        <f>+UTAMA!H20</f>
        <v>119.33</v>
      </c>
      <c r="H19" s="10">
        <f>+UTAMA!I20</f>
        <v>1.613</v>
      </c>
      <c r="I19" s="112">
        <v>251</v>
      </c>
      <c r="K19" s="116"/>
      <c r="L19" s="120"/>
      <c r="M19" s="120"/>
      <c r="N19" s="118"/>
    </row>
    <row r="20" spans="1:14" ht="15.75">
      <c r="A20" s="31">
        <f t="shared" si="0"/>
        <v>10</v>
      </c>
      <c r="B20" s="8" t="s">
        <v>40</v>
      </c>
      <c r="C20" s="9">
        <f>+UTAMA!D21</f>
        <v>46.5</v>
      </c>
      <c r="D20" s="10">
        <f>+UTAMA!E21</f>
        <v>4.5999999999999996</v>
      </c>
      <c r="E20" s="11" t="s">
        <v>41</v>
      </c>
      <c r="F20" s="10">
        <f>+UTAMA!G21</f>
        <v>0.68</v>
      </c>
      <c r="G20" s="9">
        <f>+UTAMA!H21</f>
        <v>43.78</v>
      </c>
      <c r="H20" s="10">
        <f>+UTAMA!I21</f>
        <v>2.5009999999999999</v>
      </c>
      <c r="I20" s="114">
        <v>440</v>
      </c>
      <c r="K20" s="116"/>
      <c r="L20" s="116"/>
      <c r="M20" s="119"/>
      <c r="N20" s="118"/>
    </row>
    <row r="21" spans="1:14" ht="15.75">
      <c r="A21" s="31">
        <f t="shared" si="0"/>
        <v>11</v>
      </c>
      <c r="B21" s="8" t="s">
        <v>42</v>
      </c>
      <c r="C21" s="9">
        <f>+UTAMA!D22</f>
        <v>51.5</v>
      </c>
      <c r="D21" s="10">
        <f>+UTAMA!E22</f>
        <v>2.4159999999999999</v>
      </c>
      <c r="E21" s="43">
        <f>+UTAMA!F22</f>
        <v>47.63</v>
      </c>
      <c r="F21" s="10">
        <f>+UTAMA!G22</f>
        <v>1.1299999999999999</v>
      </c>
      <c r="G21" s="9">
        <f>+UTAMA!H22</f>
        <v>49.64</v>
      </c>
      <c r="H21" s="10">
        <f>+UTAMA!I22</f>
        <v>1.96</v>
      </c>
      <c r="I21" s="114">
        <v>775</v>
      </c>
      <c r="K21" s="116"/>
      <c r="L21" s="116"/>
      <c r="M21" s="119"/>
      <c r="N21" s="118"/>
    </row>
    <row r="22" spans="1:14" ht="15.75">
      <c r="A22" s="31">
        <f t="shared" si="0"/>
        <v>12</v>
      </c>
      <c r="B22" s="8" t="s">
        <v>43</v>
      </c>
      <c r="C22" s="9">
        <f>+UTAMA!D23</f>
        <v>81</v>
      </c>
      <c r="D22" s="10">
        <f>+UTAMA!E23</f>
        <v>1.093</v>
      </c>
      <c r="E22" s="43">
        <f>+UTAMA!F23</f>
        <v>76.180000000000007</v>
      </c>
      <c r="F22" s="10">
        <f>+UTAMA!G23</f>
        <v>0.39</v>
      </c>
      <c r="G22" s="9">
        <f>+UTAMA!H23</f>
        <v>75.98</v>
      </c>
      <c r="H22" s="10">
        <f>+UTAMA!I23</f>
        <v>0.37</v>
      </c>
      <c r="I22" s="112">
        <v>750</v>
      </c>
      <c r="K22" s="116"/>
      <c r="L22" s="116"/>
      <c r="M22" s="119"/>
      <c r="N22" s="118"/>
    </row>
    <row r="23" spans="1:14" ht="15.75">
      <c r="A23" s="31">
        <f t="shared" si="0"/>
        <v>13</v>
      </c>
      <c r="B23" s="8" t="s">
        <v>44</v>
      </c>
      <c r="C23" s="9">
        <f>+UTAMA!D24</f>
        <v>82.8</v>
      </c>
      <c r="D23" s="10">
        <f>+UTAMA!E24</f>
        <v>0.42899999999999999</v>
      </c>
      <c r="E23" s="11">
        <f>+UTAMA!F24</f>
        <v>81.64</v>
      </c>
      <c r="F23" s="10">
        <f>+UTAMA!G24</f>
        <v>0.26</v>
      </c>
      <c r="G23" s="9">
        <f>+UTAMA!H24</f>
        <v>82.52</v>
      </c>
      <c r="H23" s="10">
        <f>+UTAMA!I24</f>
        <v>0.38500000000000001</v>
      </c>
      <c r="I23" s="112">
        <v>482</v>
      </c>
      <c r="K23" s="116"/>
      <c r="L23" s="116"/>
      <c r="M23" s="116"/>
      <c r="N23" s="118"/>
    </row>
    <row r="24" spans="1:14" ht="15.75">
      <c r="A24" s="31">
        <f t="shared" si="0"/>
        <v>14</v>
      </c>
      <c r="B24" s="8" t="s">
        <v>45</v>
      </c>
      <c r="C24" s="9">
        <f>+UTAMA!D25</f>
        <v>69.95</v>
      </c>
      <c r="D24" s="10">
        <f>+UTAMA!E25</f>
        <v>0.25</v>
      </c>
      <c r="E24" s="11">
        <f>+UTAMA!F25</f>
        <v>68.62</v>
      </c>
      <c r="F24" s="10">
        <f>+UTAMA!G25</f>
        <v>0.12</v>
      </c>
      <c r="G24" s="9">
        <f>+UTAMA!H25</f>
        <v>70.040000000000006</v>
      </c>
      <c r="H24" s="10">
        <f>+UTAMA!I25</f>
        <v>0.26500000000000001</v>
      </c>
      <c r="I24" s="112">
        <v>366</v>
      </c>
      <c r="K24" s="116"/>
      <c r="L24" s="116"/>
      <c r="M24" s="116"/>
      <c r="N24" s="121"/>
    </row>
    <row r="25" spans="1:14" ht="15.75">
      <c r="A25" s="31">
        <f t="shared" si="0"/>
        <v>15</v>
      </c>
      <c r="B25" s="8" t="s">
        <v>46</v>
      </c>
      <c r="C25" s="9">
        <f>+UTAMA!D26</f>
        <v>5.21</v>
      </c>
      <c r="D25" s="10">
        <f>+UTAMA!E26</f>
        <v>0.38500000000000001</v>
      </c>
      <c r="E25" s="43">
        <f>+UTAMA!F26</f>
        <v>2.13</v>
      </c>
      <c r="F25" s="10">
        <f>+UTAMA!G26</f>
        <v>0.04</v>
      </c>
      <c r="G25" s="9">
        <f>+UTAMA!H26</f>
        <v>3.46</v>
      </c>
      <c r="H25" s="10">
        <f>+UTAMA!I26</f>
        <v>0.14599999999999999</v>
      </c>
      <c r="I25" s="114">
        <v>260</v>
      </c>
      <c r="K25" s="116"/>
      <c r="L25" s="116"/>
      <c r="M25" s="116"/>
      <c r="N25" s="118"/>
    </row>
    <row r="26" spans="1:14" ht="15.75">
      <c r="A26" s="31">
        <f t="shared" si="0"/>
        <v>16</v>
      </c>
      <c r="B26" s="8" t="s">
        <v>47</v>
      </c>
      <c r="C26" s="9">
        <f>+UTAMA!D27</f>
        <v>138.19999999999999</v>
      </c>
      <c r="D26" s="10">
        <f>+UTAMA!E27</f>
        <v>440</v>
      </c>
      <c r="E26" s="43">
        <f>+UTAMA!F27</f>
        <v>128.62</v>
      </c>
      <c r="F26" s="10">
        <f>+UTAMA!G27</f>
        <v>87.217799999999997</v>
      </c>
      <c r="G26" s="9">
        <f>+UTAMA!H27</f>
        <v>132.97999999999999</v>
      </c>
      <c r="H26" s="10">
        <f>+UTAMA!I27</f>
        <v>224.179</v>
      </c>
      <c r="I26" s="112">
        <v>28109</v>
      </c>
      <c r="K26" s="116"/>
      <c r="L26" s="116"/>
      <c r="M26" s="116"/>
      <c r="N26" s="122"/>
    </row>
    <row r="27" spans="1:14" ht="15.75">
      <c r="A27" s="31">
        <f t="shared" si="0"/>
        <v>17</v>
      </c>
      <c r="B27" s="8" t="s">
        <v>48</v>
      </c>
      <c r="C27" s="9">
        <f>+UTAMA!D28</f>
        <v>113.5</v>
      </c>
      <c r="D27" s="10">
        <f>+UTAMA!E28</f>
        <v>3.7519999999999998</v>
      </c>
      <c r="E27" s="43">
        <f>+UTAMA!F28</f>
        <v>108.32</v>
      </c>
      <c r="F27" s="10">
        <f>+UTAMA!G28</f>
        <v>1.554</v>
      </c>
      <c r="G27" s="9">
        <f>+UTAMA!H28</f>
        <v>111</v>
      </c>
      <c r="H27" s="10">
        <f>+UTAMA!I28</f>
        <v>2.5139999999999998</v>
      </c>
      <c r="I27" s="112">
        <v>874</v>
      </c>
      <c r="K27" s="116"/>
      <c r="L27" s="116"/>
      <c r="M27" s="116"/>
      <c r="N27" s="122"/>
    </row>
    <row r="28" spans="1:14" ht="15.75">
      <c r="A28" s="31">
        <f t="shared" si="0"/>
        <v>18</v>
      </c>
      <c r="B28" s="8" t="s">
        <v>49</v>
      </c>
      <c r="C28" s="9">
        <f>+UTAMA!D29</f>
        <v>225.4</v>
      </c>
      <c r="D28" s="10">
        <f>+UTAMA!E29</f>
        <v>1.2</v>
      </c>
      <c r="E28" s="43">
        <f>+UTAMA!F29</f>
        <v>222.4</v>
      </c>
      <c r="F28" s="10">
        <f>+UTAMA!G29</f>
        <v>0.17399999999999999</v>
      </c>
      <c r="G28" s="9">
        <f>+UTAMA!H29</f>
        <v>225.3</v>
      </c>
      <c r="H28" s="10">
        <f>+UTAMA!I29</f>
        <v>0.56200000000000006</v>
      </c>
      <c r="I28" s="114">
        <v>392</v>
      </c>
      <c r="K28" s="116"/>
      <c r="L28" s="116"/>
      <c r="M28" s="116"/>
      <c r="N28" s="118"/>
    </row>
    <row r="29" spans="1:14" ht="15.75">
      <c r="A29" s="31">
        <f t="shared" si="0"/>
        <v>19</v>
      </c>
      <c r="B29" s="8" t="s">
        <v>50</v>
      </c>
      <c r="C29" s="9">
        <f>+UTAMA!D30</f>
        <v>224</v>
      </c>
      <c r="D29" s="10">
        <f>+UTAMA!E30</f>
        <v>0.65100000000000002</v>
      </c>
      <c r="E29" s="43">
        <f>+UTAMA!F30</f>
        <v>216.9</v>
      </c>
      <c r="F29" s="10">
        <f>+UTAMA!G30</f>
        <v>0.115</v>
      </c>
      <c r="G29" s="9">
        <f>+UTAMA!H30</f>
        <v>221.3</v>
      </c>
      <c r="H29" s="10">
        <f>+UTAMA!I30</f>
        <v>0.372</v>
      </c>
      <c r="I29" s="114">
        <v>500</v>
      </c>
      <c r="K29" s="116"/>
      <c r="L29" s="116"/>
      <c r="M29" s="116"/>
      <c r="N29" s="118"/>
    </row>
    <row r="30" spans="1:14" ht="15.75">
      <c r="A30" s="31">
        <f t="shared" si="0"/>
        <v>20</v>
      </c>
      <c r="B30" s="8" t="s">
        <v>51</v>
      </c>
      <c r="C30" s="9">
        <f>+UTAMA!D31</f>
        <v>196</v>
      </c>
      <c r="D30" s="10">
        <f>+UTAMA!E31</f>
        <v>1.5820000000000001</v>
      </c>
      <c r="E30" s="43">
        <f>+UTAMA!F31</f>
        <v>192.4</v>
      </c>
      <c r="F30" s="10">
        <f>+UTAMA!G31</f>
        <v>0.95499999999999996</v>
      </c>
      <c r="G30" s="9">
        <f>+UTAMA!H31</f>
        <v>195.93</v>
      </c>
      <c r="H30" s="10">
        <f>+UTAMA!I31</f>
        <v>1.57</v>
      </c>
      <c r="I30" s="114">
        <v>700</v>
      </c>
      <c r="K30" s="116"/>
      <c r="L30" s="116"/>
      <c r="M30" s="116"/>
      <c r="N30" s="118"/>
    </row>
    <row r="31" spans="1:14" ht="15.75">
      <c r="A31" s="31">
        <f t="shared" si="0"/>
        <v>21</v>
      </c>
      <c r="B31" s="8" t="s">
        <v>52</v>
      </c>
      <c r="C31" s="9">
        <f>+UTAMA!D32</f>
        <v>174</v>
      </c>
      <c r="D31" s="10">
        <f>+UTAMA!E32</f>
        <v>0.47899999999999998</v>
      </c>
      <c r="E31" s="11">
        <f>+UTAMA!F32</f>
        <v>171.8</v>
      </c>
      <c r="F31" s="10">
        <f>+UTAMA!G32</f>
        <v>2.1000000000000001E-2</v>
      </c>
      <c r="G31" s="9">
        <f>+UTAMA!H32</f>
        <v>173.65</v>
      </c>
      <c r="H31" s="10">
        <f>+UTAMA!I32</f>
        <v>0.20899999999999999</v>
      </c>
      <c r="I31" s="114">
        <v>87</v>
      </c>
      <c r="K31" s="116"/>
      <c r="L31" s="116"/>
      <c r="M31" s="116"/>
      <c r="N31" s="122"/>
    </row>
    <row r="32" spans="1:14" ht="15.75">
      <c r="A32" s="31">
        <f t="shared" si="0"/>
        <v>22</v>
      </c>
      <c r="B32" s="8" t="s">
        <v>53</v>
      </c>
      <c r="C32" s="9">
        <f>+UTAMA!D33</f>
        <v>229.1</v>
      </c>
      <c r="D32" s="10">
        <f>+UTAMA!E33</f>
        <v>0.79200000000000004</v>
      </c>
      <c r="E32" s="43">
        <f>+UTAMA!F33</f>
        <v>219.35</v>
      </c>
      <c r="F32" s="10">
        <f>+UTAMA!G33</f>
        <v>0.10199999999999999</v>
      </c>
      <c r="G32" s="9">
        <f>+UTAMA!H33</f>
        <v>221.7</v>
      </c>
      <c r="H32" s="10">
        <f>+UTAMA!I33</f>
        <v>0.20599999999999999</v>
      </c>
      <c r="I32" s="113">
        <v>354</v>
      </c>
      <c r="K32" s="116"/>
      <c r="L32" s="116"/>
      <c r="M32" s="116"/>
      <c r="N32" s="118"/>
    </row>
    <row r="33" spans="1:14" ht="15.75">
      <c r="A33" s="31">
        <f t="shared" si="0"/>
        <v>23</v>
      </c>
      <c r="B33" s="8" t="s">
        <v>54</v>
      </c>
      <c r="C33" s="9">
        <f>+UTAMA!D34</f>
        <v>249</v>
      </c>
      <c r="D33" s="10">
        <f>+UTAMA!E34</f>
        <v>2.1240000000000001</v>
      </c>
      <c r="E33" s="43">
        <f>+UTAMA!F34</f>
        <v>241.28</v>
      </c>
      <c r="F33" s="10">
        <f>+UTAMA!G34</f>
        <v>0.58799999999999997</v>
      </c>
      <c r="G33" s="9">
        <f>+UTAMA!H34</f>
        <v>0.246</v>
      </c>
      <c r="H33" s="10">
        <f>+UTAMA!I34</f>
        <v>1.2250000000000001</v>
      </c>
      <c r="I33" s="114">
        <v>637</v>
      </c>
      <c r="K33" s="116"/>
      <c r="L33" s="116"/>
      <c r="M33" s="116"/>
      <c r="N33" s="118"/>
    </row>
    <row r="34" spans="1:14" ht="15.75">
      <c r="A34" s="31">
        <f t="shared" si="0"/>
        <v>24</v>
      </c>
      <c r="B34" s="8" t="s">
        <v>55</v>
      </c>
      <c r="C34" s="9">
        <f>+UTAMA!D35</f>
        <v>164.75</v>
      </c>
      <c r="D34" s="10">
        <f>+UTAMA!E35</f>
        <v>5</v>
      </c>
      <c r="E34" s="43">
        <f>+UTAMA!F35</f>
        <v>154.51</v>
      </c>
      <c r="F34" s="10">
        <f>+UTAMA!G35</f>
        <v>0.54700000000000004</v>
      </c>
      <c r="G34" s="9">
        <f>+UTAMA!H35</f>
        <v>156.55000000000001</v>
      </c>
      <c r="H34" s="10">
        <f>+UTAMA!I35</f>
        <v>1.129</v>
      </c>
      <c r="I34" s="114">
        <v>7394</v>
      </c>
      <c r="K34" s="116"/>
      <c r="L34" s="116"/>
      <c r="M34" s="116"/>
      <c r="N34" s="122"/>
    </row>
    <row r="35" spans="1:14" ht="15.75">
      <c r="A35" s="31">
        <f t="shared" si="0"/>
        <v>25</v>
      </c>
      <c r="B35" s="8" t="s">
        <v>56</v>
      </c>
      <c r="C35" s="9">
        <f>+UTAMA!D36</f>
        <v>179.1</v>
      </c>
      <c r="D35" s="10">
        <f>+UTAMA!E36</f>
        <v>4.2</v>
      </c>
      <c r="E35" s="46">
        <f>+UTAMA!F36</f>
        <v>169.51</v>
      </c>
      <c r="F35" s="10">
        <f>+UTAMA!G36</f>
        <v>0.58299999999999996</v>
      </c>
      <c r="G35" s="9">
        <f>+UTAMA!H36</f>
        <v>174.62</v>
      </c>
      <c r="H35" s="10">
        <f>+UTAMA!I36</f>
        <v>1.9330000000000001</v>
      </c>
      <c r="I35" s="114">
        <v>2410</v>
      </c>
      <c r="K35" s="116"/>
      <c r="L35" s="116"/>
      <c r="M35" s="116"/>
      <c r="N35" s="122"/>
    </row>
    <row r="36" spans="1:14" ht="15.75">
      <c r="A36" s="31">
        <f t="shared" si="0"/>
        <v>26</v>
      </c>
      <c r="B36" s="8" t="s">
        <v>57</v>
      </c>
      <c r="C36" s="9">
        <f>+UTAMA!D37</f>
        <v>326.56</v>
      </c>
      <c r="D36" s="10">
        <f>+UTAMA!E37</f>
        <v>0.70099999999999996</v>
      </c>
      <c r="E36" s="46">
        <f>+UTAMA!F37</f>
        <v>321.93</v>
      </c>
      <c r="F36" s="10">
        <f>+UTAMA!G37</f>
        <v>0.36299999999999999</v>
      </c>
      <c r="G36" s="9">
        <f>+UTAMA!H37</f>
        <v>325.56</v>
      </c>
      <c r="H36" s="10">
        <f>+UTAMA!I37</f>
        <v>0.70099999999999996</v>
      </c>
      <c r="I36" s="114">
        <v>1370</v>
      </c>
      <c r="K36" s="116"/>
      <c r="L36" s="116"/>
      <c r="M36" s="116"/>
      <c r="N36" s="122"/>
    </row>
    <row r="37" spans="1:14" ht="15.75">
      <c r="A37" s="31">
        <f t="shared" si="0"/>
        <v>27</v>
      </c>
      <c r="B37" s="8" t="s">
        <v>58</v>
      </c>
      <c r="C37" s="9">
        <f>+UTAMA!D38</f>
        <v>129.19999999999999</v>
      </c>
      <c r="D37" s="10">
        <f>+UTAMA!E38</f>
        <v>0.5</v>
      </c>
      <c r="E37" s="46">
        <f>+UTAMA!F38</f>
        <v>125.29</v>
      </c>
      <c r="F37" s="10">
        <f>+UTAMA!G38</f>
        <v>0.12</v>
      </c>
      <c r="G37" s="9">
        <f>+UTAMA!H38</f>
        <v>127.65</v>
      </c>
      <c r="H37" s="10">
        <f>+UTAMA!I38</f>
        <v>0.34499999999999997</v>
      </c>
      <c r="I37" s="114">
        <v>358</v>
      </c>
      <c r="K37" s="116"/>
      <c r="L37" s="116"/>
      <c r="M37" s="116"/>
      <c r="N37" s="122"/>
    </row>
    <row r="38" spans="1:14" ht="15.75">
      <c r="A38" s="31">
        <f t="shared" si="0"/>
        <v>28</v>
      </c>
      <c r="B38" s="8" t="s">
        <v>59</v>
      </c>
      <c r="C38" s="9">
        <f>+UTAMA!D39</f>
        <v>282.76</v>
      </c>
      <c r="D38" s="10">
        <f>+UTAMA!E39</f>
        <v>0.51300000000000001</v>
      </c>
      <c r="E38" s="46">
        <f>+UTAMA!F39</f>
        <v>277.62</v>
      </c>
      <c r="F38" s="10">
        <f>+UTAMA!G39</f>
        <v>6.4000000000000001E-2</v>
      </c>
      <c r="G38" s="9">
        <f>+UTAMA!H39</f>
        <v>282.77999999999997</v>
      </c>
      <c r="H38" s="10">
        <f>+UTAMA!I39</f>
        <v>0.51300000000000001</v>
      </c>
      <c r="I38" s="114">
        <v>268</v>
      </c>
      <c r="K38" s="116"/>
      <c r="L38" s="116"/>
      <c r="M38" s="116"/>
      <c r="N38" s="121"/>
    </row>
    <row r="39" spans="1:14" ht="15.75">
      <c r="A39" s="31">
        <f t="shared" si="0"/>
        <v>29</v>
      </c>
      <c r="B39" s="8" t="s">
        <v>60</v>
      </c>
      <c r="C39" s="9">
        <f>+UTAMA!D40</f>
        <v>99</v>
      </c>
      <c r="D39" s="10">
        <f>+UTAMA!E40</f>
        <v>2.6110000000000002</v>
      </c>
      <c r="E39" s="46">
        <f>+UTAMA!F40</f>
        <v>96.61</v>
      </c>
      <c r="F39" s="10">
        <f>+UTAMA!G40</f>
        <v>1.3460000000000001</v>
      </c>
      <c r="G39" s="9">
        <f>+UTAMA!H40</f>
        <v>97.83</v>
      </c>
      <c r="H39" s="10">
        <f>+UTAMA!I40</f>
        <v>2</v>
      </c>
      <c r="I39" s="114">
        <v>892</v>
      </c>
      <c r="K39" s="116"/>
      <c r="L39" s="116"/>
      <c r="M39" s="116"/>
      <c r="N39" s="122"/>
    </row>
    <row r="40" spans="1:14" ht="15.75">
      <c r="A40" s="31">
        <f t="shared" si="0"/>
        <v>30</v>
      </c>
      <c r="B40" s="8" t="s">
        <v>61</v>
      </c>
      <c r="C40" s="9">
        <f>+UTAMA!D41</f>
        <v>189.7</v>
      </c>
      <c r="D40" s="10">
        <f>+UTAMA!E41</f>
        <v>0.08</v>
      </c>
      <c r="E40" s="46">
        <f>+UTAMA!F41</f>
        <v>187.84</v>
      </c>
      <c r="F40" s="10">
        <f>+UTAMA!G41</f>
        <v>2.1000000000000001E-2</v>
      </c>
      <c r="G40" s="9">
        <f>+UTAMA!H41</f>
        <v>189.7</v>
      </c>
      <c r="H40" s="10">
        <f>+UTAMA!I41</f>
        <v>0.08</v>
      </c>
      <c r="I40" s="114">
        <v>274</v>
      </c>
      <c r="K40" s="116"/>
      <c r="L40" s="116"/>
      <c r="M40" s="116"/>
      <c r="N40" s="122"/>
    </row>
    <row r="41" spans="1:14" ht="15.75">
      <c r="A41" s="31">
        <f t="shared" si="0"/>
        <v>31</v>
      </c>
      <c r="B41" s="8" t="s">
        <v>62</v>
      </c>
      <c r="C41" s="9">
        <f>+UTAMA!D42</f>
        <v>171.16</v>
      </c>
      <c r="D41" s="10">
        <f>+UTAMA!E42</f>
        <v>9.6000000000000002E-2</v>
      </c>
      <c r="E41" s="46">
        <f>+UTAMA!F42</f>
        <v>168.41</v>
      </c>
      <c r="F41" s="10">
        <f>+UTAMA!G42</f>
        <v>0.03</v>
      </c>
      <c r="G41" s="9">
        <f>+UTAMA!H42</f>
        <v>171.46</v>
      </c>
      <c r="H41" s="10">
        <f>+UTAMA!I42</f>
        <v>0.10299999999999999</v>
      </c>
      <c r="I41" s="114">
        <v>395</v>
      </c>
      <c r="K41" s="116"/>
      <c r="L41" s="116"/>
      <c r="M41" s="116"/>
      <c r="N41" s="122"/>
    </row>
    <row r="42" spans="1:14" ht="15.75">
      <c r="A42" s="31">
        <f t="shared" si="0"/>
        <v>32</v>
      </c>
      <c r="B42" s="8" t="s">
        <v>63</v>
      </c>
      <c r="C42" s="9">
        <f>+UTAMA!D43</f>
        <v>142.6</v>
      </c>
      <c r="D42" s="10">
        <f>+UTAMA!E43</f>
        <v>9.157</v>
      </c>
      <c r="E42" s="46">
        <f>+UTAMA!F43</f>
        <v>139.6</v>
      </c>
      <c r="F42" s="10">
        <f>+UTAMA!G43</f>
        <v>2.036</v>
      </c>
      <c r="G42" s="9">
        <f>+UTAMA!H43</f>
        <v>140.03</v>
      </c>
      <c r="H42" s="10">
        <f>+UTAMA!I43</f>
        <v>2.78</v>
      </c>
      <c r="I42" s="112">
        <v>1570</v>
      </c>
      <c r="K42" s="116"/>
      <c r="L42" s="116"/>
      <c r="M42" s="116"/>
      <c r="N42" s="122"/>
    </row>
    <row r="43" spans="1:14" ht="15.75">
      <c r="A43" s="31">
        <f t="shared" si="0"/>
        <v>33</v>
      </c>
      <c r="B43" s="8" t="s">
        <v>64</v>
      </c>
      <c r="C43" s="9">
        <f>+UTAMA!D44</f>
        <v>239.5</v>
      </c>
      <c r="D43" s="10">
        <f>+UTAMA!E44</f>
        <v>2.6720000000000002</v>
      </c>
      <c r="E43" s="46">
        <f>+UTAMA!F44</f>
        <v>235.56</v>
      </c>
      <c r="F43" s="10">
        <f>+UTAMA!G44</f>
        <v>0.80300000000000005</v>
      </c>
      <c r="G43" s="9">
        <f>+UTAMA!H44</f>
        <v>235.9</v>
      </c>
      <c r="H43" s="10">
        <f>+UTAMA!I44</f>
        <v>0.90900000000000003</v>
      </c>
      <c r="I43" s="112">
        <v>1353</v>
      </c>
      <c r="K43" s="116"/>
      <c r="L43" s="116"/>
      <c r="M43" s="116"/>
      <c r="N43" s="122"/>
    </row>
    <row r="44" spans="1:14" ht="15.75">
      <c r="A44" s="31">
        <f t="shared" si="0"/>
        <v>34</v>
      </c>
      <c r="B44" s="8" t="s">
        <v>65</v>
      </c>
      <c r="C44" s="9">
        <f>+UTAMA!D45</f>
        <v>120.5</v>
      </c>
      <c r="D44" s="10">
        <f>+UTAMA!E45</f>
        <v>3.677</v>
      </c>
      <c r="E44" s="46">
        <f>+UTAMA!F45</f>
        <v>118.83</v>
      </c>
      <c r="F44" s="10">
        <f>+UTAMA!G45</f>
        <v>0.94399999999999995</v>
      </c>
      <c r="G44" s="9">
        <f>+UTAMA!H45</f>
        <v>120.46</v>
      </c>
      <c r="H44" s="10">
        <f>+UTAMA!I45</f>
        <v>3.601</v>
      </c>
      <c r="I44" s="114">
        <v>782</v>
      </c>
      <c r="K44" s="116"/>
      <c r="L44" s="116"/>
      <c r="M44" s="116"/>
      <c r="N44" s="122"/>
    </row>
    <row r="45" spans="1:14" ht="15.75">
      <c r="A45" s="31">
        <f t="shared" si="0"/>
        <v>35</v>
      </c>
      <c r="B45" s="8" t="s">
        <v>66</v>
      </c>
      <c r="C45" s="9">
        <f>+UTAMA!D46</f>
        <v>110.56</v>
      </c>
      <c r="D45" s="10">
        <f>+UTAMA!E46</f>
        <v>2.75</v>
      </c>
      <c r="E45" s="46">
        <f>+UTAMA!F46</f>
        <v>108.27</v>
      </c>
      <c r="F45" s="10">
        <f>+UTAMA!G46</f>
        <v>0.61799999999999999</v>
      </c>
      <c r="G45" s="9">
        <f>+UTAMA!H46</f>
        <v>109.46</v>
      </c>
      <c r="H45" s="10">
        <f>+UTAMA!I46</f>
        <v>1.282</v>
      </c>
      <c r="I45" s="114">
        <v>43</v>
      </c>
      <c r="K45" s="116"/>
      <c r="L45" s="116"/>
      <c r="M45" s="116"/>
      <c r="N45" s="122"/>
    </row>
    <row r="46" spans="1:14" ht="15.75">
      <c r="A46" s="31">
        <f t="shared" si="0"/>
        <v>36</v>
      </c>
      <c r="B46" s="8" t="s">
        <v>67</v>
      </c>
      <c r="C46" s="9">
        <f>+UTAMA!D47</f>
        <v>72</v>
      </c>
      <c r="D46" s="10">
        <f>+UTAMA!E47</f>
        <v>38.036000000000001</v>
      </c>
      <c r="E46" s="46">
        <f>+UTAMA!F47</f>
        <v>53.4</v>
      </c>
      <c r="F46" s="10">
        <f>+UTAMA!G47</f>
        <v>6.88</v>
      </c>
      <c r="G46" s="9">
        <f>+UTAMA!H47</f>
        <v>68.349999999999994</v>
      </c>
      <c r="H46" s="10">
        <f>+UTAMA!I47</f>
        <v>29.584</v>
      </c>
      <c r="I46" s="112">
        <v>6485</v>
      </c>
      <c r="K46" s="116"/>
      <c r="L46" s="116"/>
      <c r="M46" s="116"/>
      <c r="N46" s="122"/>
    </row>
    <row r="47" spans="1:14" ht="15.75">
      <c r="A47" s="31">
        <f t="shared" si="0"/>
        <v>37</v>
      </c>
      <c r="B47" s="8" t="s">
        <v>68</v>
      </c>
      <c r="C47" s="9">
        <f>+UTAMA!D48</f>
        <v>185</v>
      </c>
      <c r="D47" s="10">
        <f>+UTAMA!E48</f>
        <v>412.66</v>
      </c>
      <c r="E47" s="46">
        <f>+UTAMA!F48</f>
        <v>165</v>
      </c>
      <c r="F47" s="10">
        <f>+UTAMA!G48</f>
        <v>199.78399999999999</v>
      </c>
      <c r="G47" s="9">
        <f>+UTAMA!H48</f>
        <v>173.54</v>
      </c>
      <c r="H47" s="10">
        <f>+UTAMA!I48</f>
        <v>276.41660000000002</v>
      </c>
      <c r="I47" s="112">
        <v>31109</v>
      </c>
      <c r="K47" s="116"/>
      <c r="L47" s="116"/>
      <c r="M47" s="116"/>
      <c r="N47" s="122"/>
    </row>
    <row r="48" spans="1:14" ht="16.5" thickBot="1">
      <c r="A48" s="1">
        <f t="shared" si="0"/>
        <v>38</v>
      </c>
      <c r="B48" s="35" t="s">
        <v>69</v>
      </c>
      <c r="C48" s="9">
        <f>+UTAMA!D49</f>
        <v>231</v>
      </c>
      <c r="D48" s="10">
        <f>+UTAMA!E49</f>
        <v>31.8</v>
      </c>
      <c r="E48" s="46">
        <f>+UTAMA!F49</f>
        <v>228.07</v>
      </c>
      <c r="F48" s="10">
        <f>+UTAMA!G49</f>
        <v>8.4499999999999993</v>
      </c>
      <c r="G48" s="9">
        <f>+UTAMA!H49</f>
        <v>230.1</v>
      </c>
      <c r="H48" s="10">
        <f>+UTAMA!I49</f>
        <v>18.350000000000001</v>
      </c>
      <c r="I48" s="115">
        <v>8400</v>
      </c>
      <c r="K48" s="116"/>
      <c r="L48" s="116"/>
      <c r="M48" s="116"/>
      <c r="N48" s="118"/>
    </row>
    <row r="49" spans="1:14" ht="16.5" thickBot="1">
      <c r="A49" s="19"/>
      <c r="B49" s="21" t="s">
        <v>70</v>
      </c>
      <c r="C49" s="20"/>
      <c r="D49" s="25">
        <f>SUM(D11:D48)</f>
        <v>1860.202</v>
      </c>
      <c r="E49" s="26"/>
      <c r="F49" s="25">
        <f>SUM(F11:F48)</f>
        <v>661.43280000000004</v>
      </c>
      <c r="G49" s="26"/>
      <c r="H49" s="25">
        <f>SUM(H11:H48)</f>
        <v>1027.2876000000001</v>
      </c>
      <c r="I49" s="172">
        <f>SUM(I11:I48)</f>
        <v>270584</v>
      </c>
      <c r="K49" s="116"/>
      <c r="L49" s="116"/>
      <c r="M49" s="116"/>
      <c r="N49" s="118"/>
    </row>
    <row r="50" spans="1:14" ht="16.5" thickBot="1">
      <c r="A50" s="33" t="s">
        <v>71</v>
      </c>
      <c r="B50" s="21" t="s">
        <v>72</v>
      </c>
      <c r="C50" s="20"/>
      <c r="D50" s="25"/>
      <c r="E50" s="34"/>
      <c r="F50" s="69">
        <v>1</v>
      </c>
      <c r="G50" s="26"/>
      <c r="H50" s="67">
        <f>+H49/F49</f>
        <v>1.553124671168409</v>
      </c>
      <c r="I50" s="68"/>
      <c r="K50" s="116"/>
      <c r="L50" s="116"/>
      <c r="M50" s="116"/>
      <c r="N50" s="122"/>
    </row>
    <row r="51" spans="1:14" ht="15.75">
      <c r="A51" s="13" t="s">
        <v>73</v>
      </c>
      <c r="D51" s="22" t="s">
        <v>71</v>
      </c>
      <c r="E51" s="24" t="s">
        <v>71</v>
      </c>
      <c r="F51" s="27" t="s">
        <v>71</v>
      </c>
      <c r="H51" s="32"/>
      <c r="I51" s="32"/>
      <c r="K51" s="116"/>
      <c r="L51" s="116"/>
      <c r="M51" s="116"/>
      <c r="N51" s="122"/>
    </row>
    <row r="52" spans="1:14" ht="15.75">
      <c r="B52" t="s">
        <v>74</v>
      </c>
      <c r="C52">
        <v>5</v>
      </c>
      <c r="D52">
        <v>270584</v>
      </c>
      <c r="E52" s="173">
        <f>+D52*C52</f>
        <v>1352920</v>
      </c>
      <c r="F52" t="s">
        <v>75</v>
      </c>
      <c r="K52" s="116"/>
      <c r="L52" s="116"/>
      <c r="M52" s="116"/>
      <c r="N52" s="118"/>
    </row>
    <row r="53" spans="1:14" ht="15.75">
      <c r="E53">
        <v>500000</v>
      </c>
      <c r="F53" t="s">
        <v>75</v>
      </c>
      <c r="K53" s="116"/>
      <c r="L53" s="116"/>
      <c r="M53" s="116"/>
      <c r="N53" s="118"/>
    </row>
    <row r="54" spans="1:14" ht="15.75">
      <c r="E54" s="174">
        <f>SUM(E52:E53)</f>
        <v>1852920</v>
      </c>
      <c r="F54" t="s">
        <v>75</v>
      </c>
      <c r="K54" s="116"/>
      <c r="L54" s="116"/>
      <c r="M54" s="116"/>
      <c r="N54" s="118"/>
    </row>
    <row r="55" spans="1:14">
      <c r="K55" s="81"/>
      <c r="L55" s="81"/>
      <c r="M55" s="81"/>
      <c r="N55" s="81"/>
    </row>
    <row r="56" spans="1:14">
      <c r="K56" s="81"/>
      <c r="L56" s="81"/>
      <c r="M56" s="81"/>
      <c r="N56" s="81"/>
    </row>
    <row r="57" spans="1:14">
      <c r="K57" s="81"/>
      <c r="L57" s="81"/>
      <c r="M57" s="81"/>
      <c r="N57" s="81"/>
    </row>
    <row r="58" spans="1:14">
      <c r="K58" s="81"/>
      <c r="L58" s="81"/>
      <c r="M58" s="81"/>
      <c r="N58" s="81"/>
    </row>
    <row r="59" spans="1:14">
      <c r="K59" s="81"/>
      <c r="L59" s="81"/>
      <c r="M59" s="81"/>
      <c r="N59" s="81"/>
    </row>
    <row r="60" spans="1:14">
      <c r="K60" s="81"/>
      <c r="L60" s="81"/>
      <c r="M60" s="81"/>
      <c r="N60" s="81"/>
    </row>
    <row r="61" spans="1:14">
      <c r="K61" s="81"/>
      <c r="L61" s="81"/>
      <c r="M61" s="81"/>
      <c r="N61" s="81"/>
    </row>
    <row r="62" spans="1:14">
      <c r="K62" s="81"/>
      <c r="L62" s="81"/>
      <c r="M62" s="81"/>
      <c r="N62" s="81"/>
    </row>
    <row r="63" spans="1:14">
      <c r="K63" s="81"/>
      <c r="L63" s="81"/>
      <c r="M63" s="81"/>
      <c r="N63" s="81"/>
    </row>
    <row r="64" spans="1:14">
      <c r="K64" s="81"/>
      <c r="L64" s="81"/>
      <c r="M64" s="81"/>
      <c r="N64" s="81"/>
    </row>
    <row r="65" spans="11:14">
      <c r="K65" s="81"/>
      <c r="L65" s="81"/>
      <c r="M65" s="81"/>
      <c r="N65" s="81"/>
    </row>
  </sheetData>
  <phoneticPr fontId="47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H52"/>
  <sheetViews>
    <sheetView workbookViewId="0">
      <selection activeCell="I8" sqref="I8"/>
    </sheetView>
  </sheetViews>
  <sheetFormatPr defaultRowHeight="12.75"/>
  <cols>
    <col min="2" max="2" width="12.7109375" customWidth="1"/>
    <col min="3" max="3" width="13.5703125" customWidth="1"/>
    <col min="4" max="4" width="14.5703125" customWidth="1"/>
    <col min="5" max="5" width="14.85546875" customWidth="1"/>
    <col min="6" max="6" width="14" customWidth="1"/>
    <col min="7" max="7" width="15" customWidth="1"/>
    <col min="8" max="8" width="13" customWidth="1"/>
  </cols>
  <sheetData>
    <row r="2" spans="2:8" ht="19.5">
      <c r="B2" s="223" t="s">
        <v>76</v>
      </c>
      <c r="C2" s="223"/>
      <c r="D2" s="223"/>
      <c r="E2" s="223"/>
      <c r="F2" s="223"/>
      <c r="G2" s="223"/>
    </row>
    <row r="3" spans="2:8" ht="13.5" thickBot="1"/>
    <row r="4" spans="2:8" ht="18.75" thickBot="1">
      <c r="B4" s="203" t="s">
        <v>1</v>
      </c>
      <c r="C4" s="202" t="s">
        <v>17</v>
      </c>
      <c r="D4" s="202" t="s">
        <v>150</v>
      </c>
      <c r="E4" s="338" t="s">
        <v>156</v>
      </c>
      <c r="F4" s="353" t="s">
        <v>158</v>
      </c>
      <c r="G4" s="353" t="s">
        <v>162</v>
      </c>
    </row>
    <row r="5" spans="2:8" ht="15.75" thickBot="1">
      <c r="B5" s="204" t="s">
        <v>2</v>
      </c>
      <c r="C5" s="127">
        <v>22.405999999999999</v>
      </c>
      <c r="D5" s="127">
        <v>23.478999999999999</v>
      </c>
      <c r="E5" s="335">
        <v>27.318999999999999</v>
      </c>
      <c r="F5" s="584">
        <v>28.289000000000001</v>
      </c>
      <c r="G5" s="582">
        <v>43.69</v>
      </c>
    </row>
    <row r="6" spans="2:8" ht="15.75" thickBot="1">
      <c r="B6" s="205" t="s">
        <v>3</v>
      </c>
      <c r="C6" s="128">
        <v>44.792000000000002</v>
      </c>
      <c r="D6" s="128">
        <v>34.734999999999999</v>
      </c>
      <c r="E6" s="336">
        <v>44.116999999999997</v>
      </c>
      <c r="F6" s="585">
        <v>38.021000000000001</v>
      </c>
      <c r="G6" s="582">
        <v>47.658999999999999</v>
      </c>
    </row>
    <row r="7" spans="2:8" ht="15.75" thickBot="1">
      <c r="B7" s="205" t="s">
        <v>4</v>
      </c>
      <c r="C7" s="128">
        <v>49.281999999999996</v>
      </c>
      <c r="D7" s="128">
        <v>48.954000000000001</v>
      </c>
      <c r="E7" s="336">
        <v>50.05</v>
      </c>
      <c r="F7" s="585">
        <v>41.186999999999998</v>
      </c>
      <c r="G7" s="582">
        <v>48.497999999999998</v>
      </c>
    </row>
    <row r="8" spans="2:8" ht="15.75" thickBot="1">
      <c r="B8" s="205" t="s">
        <v>5</v>
      </c>
      <c r="C8" s="128">
        <v>47.082999999999998</v>
      </c>
      <c r="D8" s="128">
        <v>49.085000000000001</v>
      </c>
      <c r="E8" s="336">
        <v>48.304000000000002</v>
      </c>
      <c r="F8" s="585">
        <v>47.594000000000001</v>
      </c>
      <c r="G8" s="582">
        <v>47.98</v>
      </c>
    </row>
    <row r="9" spans="2:8" ht="15.75" thickBot="1">
      <c r="B9" s="205" t="s">
        <v>6</v>
      </c>
      <c r="C9" s="128">
        <v>44.116999999999997</v>
      </c>
      <c r="D9" s="128">
        <v>37.116999999999997</v>
      </c>
      <c r="E9" s="336">
        <v>44.588999999999999</v>
      </c>
      <c r="F9" s="585">
        <v>40.374000000000002</v>
      </c>
      <c r="G9" s="582">
        <v>42.604999999999997</v>
      </c>
    </row>
    <row r="10" spans="2:8" ht="15.75" thickBot="1">
      <c r="B10" s="205" t="s">
        <v>7</v>
      </c>
      <c r="C10" s="128">
        <v>34.950000000000003</v>
      </c>
      <c r="D10" s="128">
        <v>44.978000000000002</v>
      </c>
      <c r="E10" s="336">
        <v>42.784999999999997</v>
      </c>
      <c r="F10" s="585">
        <v>32.130000000000003</v>
      </c>
      <c r="G10" s="582">
        <v>43.387</v>
      </c>
    </row>
    <row r="11" spans="2:8" ht="15.75" thickBot="1">
      <c r="B11" s="205" t="s">
        <v>8</v>
      </c>
      <c r="C11" s="128">
        <v>25.751000000000001</v>
      </c>
      <c r="D11" s="128">
        <v>37.518999999999998</v>
      </c>
      <c r="E11" s="336">
        <v>26.128</v>
      </c>
      <c r="F11" s="585">
        <v>19.385000000000002</v>
      </c>
      <c r="G11" s="582">
        <v>41.715000000000003</v>
      </c>
    </row>
    <row r="12" spans="2:8" ht="15.75" thickBot="1">
      <c r="B12" s="205" t="s">
        <v>77</v>
      </c>
      <c r="C12" s="128">
        <v>14.371</v>
      </c>
      <c r="D12" s="128">
        <v>31.103000000000002</v>
      </c>
      <c r="E12" s="336">
        <v>19.899000000000001</v>
      </c>
      <c r="F12" s="585">
        <v>11.077</v>
      </c>
      <c r="G12" s="582">
        <v>34.466999999999999</v>
      </c>
      <c r="H12" t="s">
        <v>71</v>
      </c>
    </row>
    <row r="13" spans="2:8" ht="15.75" thickBot="1">
      <c r="B13" s="205" t="s">
        <v>10</v>
      </c>
      <c r="C13" s="128">
        <v>9.4209999999999994</v>
      </c>
      <c r="D13" s="128">
        <v>24.635999999999999</v>
      </c>
      <c r="E13" s="336">
        <v>8.9600000000000009</v>
      </c>
      <c r="F13" s="585">
        <v>4.4080000000000004</v>
      </c>
      <c r="G13" s="582">
        <v>24.681999999999999</v>
      </c>
    </row>
    <row r="14" spans="2:8" ht="15.75" thickBot="1">
      <c r="B14" s="205" t="s">
        <v>11</v>
      </c>
      <c r="C14" s="128">
        <v>7.0940000000000003</v>
      </c>
      <c r="D14" s="128">
        <v>19.466999999999999</v>
      </c>
      <c r="E14" s="336">
        <v>5.3049999999999997</v>
      </c>
      <c r="F14" s="585">
        <v>2.9729999999999999</v>
      </c>
      <c r="G14" s="582">
        <v>19.056999999999999</v>
      </c>
    </row>
    <row r="15" spans="2:8" ht="15.75" thickBot="1">
      <c r="B15" s="205" t="s">
        <v>12</v>
      </c>
      <c r="C15" s="128">
        <v>7.6790000000000003</v>
      </c>
      <c r="D15" s="128">
        <v>19.899000000000001</v>
      </c>
      <c r="E15" s="336">
        <v>12.535</v>
      </c>
      <c r="F15" s="585">
        <v>5.8209999999999997</v>
      </c>
      <c r="G15" s="582">
        <v>19.056999999999999</v>
      </c>
    </row>
    <row r="16" spans="2:8" ht="15.75" thickBot="1">
      <c r="B16" s="206" t="s">
        <v>13</v>
      </c>
      <c r="C16" s="129">
        <v>17.074999999999999</v>
      </c>
      <c r="D16" s="129">
        <v>23.343</v>
      </c>
      <c r="E16" s="337">
        <v>18.652999999999999</v>
      </c>
      <c r="F16" s="586">
        <v>22.494</v>
      </c>
      <c r="G16" s="583">
        <f>+UTAMA!I14</f>
        <v>23.931999999999999</v>
      </c>
    </row>
    <row r="17" spans="2:7" ht="15.75">
      <c r="B17" s="131"/>
      <c r="C17" s="100"/>
      <c r="D17" s="100"/>
      <c r="E17" s="100"/>
      <c r="F17" s="100"/>
      <c r="G17" s="100"/>
    </row>
    <row r="18" spans="2:7" ht="15.75">
      <c r="B18" s="131"/>
      <c r="C18" s="100"/>
      <c r="D18" s="100"/>
      <c r="E18" s="100"/>
      <c r="F18" s="100"/>
      <c r="G18" s="100"/>
    </row>
    <row r="49" spans="2:3">
      <c r="B49" s="137"/>
    </row>
    <row r="50" spans="2:3">
      <c r="B50" s="79" t="s">
        <v>14</v>
      </c>
      <c r="C50" s="79"/>
    </row>
    <row r="51" spans="2:3">
      <c r="B51" s="79" t="s">
        <v>15</v>
      </c>
    </row>
    <row r="52" spans="2:3">
      <c r="B52" s="79"/>
    </row>
  </sheetData>
  <phoneticPr fontId="47" type="noConversion"/>
  <pageMargins left="0.917322835" right="0.90748031500000004" top="0.59055118110236204" bottom="0.511811023622047" header="0.511811023622047" footer="0.511811023622047"/>
  <pageSetup scale="85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G50"/>
  <sheetViews>
    <sheetView topLeftCell="A19" workbookViewId="0">
      <selection activeCell="H12" sqref="H12"/>
    </sheetView>
  </sheetViews>
  <sheetFormatPr defaultRowHeight="12.75"/>
  <cols>
    <col min="1" max="1" width="3.7109375" customWidth="1"/>
    <col min="2" max="2" width="13.42578125" customWidth="1"/>
    <col min="3" max="4" width="14.140625" customWidth="1"/>
    <col min="5" max="5" width="13.5703125" customWidth="1"/>
    <col min="6" max="6" width="14.140625" customWidth="1"/>
    <col min="7" max="7" width="14.5703125" customWidth="1"/>
    <col min="8" max="8" width="13.140625" customWidth="1"/>
    <col min="9" max="9" width="15.140625" customWidth="1"/>
  </cols>
  <sheetData>
    <row r="2" spans="2:7" ht="19.5">
      <c r="B2" s="223" t="s">
        <v>78</v>
      </c>
      <c r="C2" s="223"/>
      <c r="D2" s="223"/>
      <c r="E2" s="223"/>
      <c r="F2" s="223"/>
      <c r="G2" s="223"/>
    </row>
    <row r="3" spans="2:7" ht="13.5" thickBot="1"/>
    <row r="4" spans="2:7" ht="16.5" thickBot="1">
      <c r="B4" s="85" t="s">
        <v>1</v>
      </c>
      <c r="C4" s="440" t="s">
        <v>17</v>
      </c>
      <c r="D4" s="440" t="s">
        <v>150</v>
      </c>
      <c r="E4" s="440" t="s">
        <v>156</v>
      </c>
      <c r="F4" s="461" t="s">
        <v>158</v>
      </c>
      <c r="G4" s="462" t="s">
        <v>162</v>
      </c>
    </row>
    <row r="5" spans="2:7" ht="15.75">
      <c r="B5" s="437" t="s">
        <v>2</v>
      </c>
      <c r="C5" s="441">
        <v>15.92</v>
      </c>
      <c r="D5" s="441">
        <v>21.524000000000001</v>
      </c>
      <c r="E5" s="441">
        <v>31.274999999999999</v>
      </c>
      <c r="F5" s="442">
        <v>18.125</v>
      </c>
      <c r="G5" s="443">
        <v>26.856999999999999</v>
      </c>
    </row>
    <row r="6" spans="2:7" ht="15.75">
      <c r="B6" s="438" t="s">
        <v>3</v>
      </c>
      <c r="C6" s="17">
        <v>32.334000000000003</v>
      </c>
      <c r="D6" s="17">
        <v>35.799999999999997</v>
      </c>
      <c r="E6" s="17">
        <v>37.396000000000001</v>
      </c>
      <c r="F6" s="443">
        <v>23.145</v>
      </c>
      <c r="G6" s="443">
        <v>30.890999999999998</v>
      </c>
    </row>
    <row r="7" spans="2:7" ht="15.75">
      <c r="B7" s="438" t="s">
        <v>4</v>
      </c>
      <c r="C7" s="17">
        <v>38.737000000000002</v>
      </c>
      <c r="D7" s="17">
        <v>38.808</v>
      </c>
      <c r="E7" s="17">
        <v>38.805999999999997</v>
      </c>
      <c r="F7" s="443">
        <v>32.659999999999997</v>
      </c>
      <c r="G7" s="443">
        <v>38.808</v>
      </c>
    </row>
    <row r="8" spans="2:7" ht="15.75">
      <c r="B8" s="438" t="s">
        <v>5</v>
      </c>
      <c r="C8" s="17">
        <v>38.027999999999999</v>
      </c>
      <c r="D8" s="17">
        <v>38.808</v>
      </c>
      <c r="E8" s="17">
        <v>36.700000000000003</v>
      </c>
      <c r="F8" s="443">
        <v>36.353999999999999</v>
      </c>
      <c r="G8" s="443">
        <v>38.808</v>
      </c>
    </row>
    <row r="9" spans="2:7" ht="15.75">
      <c r="B9" s="438" t="s">
        <v>6</v>
      </c>
      <c r="C9" s="17">
        <v>37.536000000000001</v>
      </c>
      <c r="D9" s="17">
        <v>37.116999999999997</v>
      </c>
      <c r="E9" s="17">
        <v>35.034999999999997</v>
      </c>
      <c r="F9" s="443">
        <v>37.466000000000001</v>
      </c>
      <c r="G9" s="443">
        <v>38.311</v>
      </c>
    </row>
    <row r="10" spans="2:7" ht="15.75">
      <c r="B10" s="438" t="s">
        <v>7</v>
      </c>
      <c r="C10" s="17">
        <v>31.596</v>
      </c>
      <c r="D10" s="17">
        <v>34.853000000000002</v>
      </c>
      <c r="E10" s="17">
        <v>29.001000000000001</v>
      </c>
      <c r="F10" s="443">
        <v>27.829000000000001</v>
      </c>
      <c r="G10" s="443">
        <v>31.65</v>
      </c>
    </row>
    <row r="11" spans="2:7" ht="15.75">
      <c r="B11" s="438" t="s">
        <v>8</v>
      </c>
      <c r="C11" s="17">
        <v>23.373000000000001</v>
      </c>
      <c r="D11" s="17">
        <v>34.247999999999998</v>
      </c>
      <c r="E11" s="17">
        <v>21.855</v>
      </c>
      <c r="F11" s="443">
        <v>18.579000000000001</v>
      </c>
      <c r="G11" s="443">
        <v>30.152999999999999</v>
      </c>
    </row>
    <row r="12" spans="2:7" ht="15.75">
      <c r="B12" s="438" t="s">
        <v>9</v>
      </c>
      <c r="C12" s="126">
        <v>12.468</v>
      </c>
      <c r="D12" s="126">
        <v>31.082999999999998</v>
      </c>
      <c r="E12" s="126">
        <v>32.792000000000002</v>
      </c>
      <c r="F12" s="443">
        <v>11.273999999999999</v>
      </c>
      <c r="G12" s="443">
        <v>21.762</v>
      </c>
    </row>
    <row r="13" spans="2:7" ht="16.5" thickBot="1">
      <c r="B13" s="438" t="s">
        <v>10</v>
      </c>
      <c r="C13" s="124">
        <v>4.4249999999999998</v>
      </c>
      <c r="D13" s="124">
        <v>31.210999999999999</v>
      </c>
      <c r="E13" s="124">
        <v>6.47</v>
      </c>
      <c r="F13" s="443">
        <v>3.9889999999999999</v>
      </c>
      <c r="G13" s="443">
        <v>12.426</v>
      </c>
    </row>
    <row r="14" spans="2:7" ht="16.5" thickBot="1">
      <c r="B14" s="438" t="s">
        <v>11</v>
      </c>
      <c r="C14" s="124">
        <v>12.836</v>
      </c>
      <c r="D14" s="124">
        <v>27.646000000000001</v>
      </c>
      <c r="E14" s="124">
        <v>3.9649999999999999</v>
      </c>
      <c r="F14" s="443">
        <v>2.5339999999999998</v>
      </c>
      <c r="G14" s="354">
        <v>6.7519999999999998</v>
      </c>
    </row>
    <row r="15" spans="2:7" ht="16.5" thickBot="1">
      <c r="B15" s="438" t="s">
        <v>12</v>
      </c>
      <c r="C15" s="124">
        <v>4.7309999999999999</v>
      </c>
      <c r="D15" s="124">
        <v>17.629000000000001</v>
      </c>
      <c r="E15" s="124">
        <v>10.015000000000001</v>
      </c>
      <c r="F15" s="443">
        <v>3.7330000000000001</v>
      </c>
      <c r="G15" s="581">
        <v>7.8879999999999999</v>
      </c>
    </row>
    <row r="16" spans="2:7" ht="16.5" thickBot="1">
      <c r="B16" s="439" t="s">
        <v>13</v>
      </c>
      <c r="C16" s="444">
        <v>13.292999999999999</v>
      </c>
      <c r="D16" s="444">
        <v>25.838999999999999</v>
      </c>
      <c r="E16" s="444">
        <v>9.2590000000000003</v>
      </c>
      <c r="F16" s="443">
        <v>9.4009999999999998</v>
      </c>
      <c r="G16" s="581">
        <f>+UTAMA!I12</f>
        <v>8.7780000000000005</v>
      </c>
    </row>
    <row r="17" spans="5:6" ht="15">
      <c r="E17" s="125" t="s">
        <v>71</v>
      </c>
      <c r="F17" s="81"/>
    </row>
    <row r="48" spans="2:3">
      <c r="B48" s="79" t="s">
        <v>14</v>
      </c>
      <c r="C48" s="79"/>
    </row>
    <row r="49" spans="2:2">
      <c r="B49" s="79" t="s">
        <v>15</v>
      </c>
    </row>
    <row r="50" spans="2:2">
      <c r="B50" s="79"/>
    </row>
  </sheetData>
  <phoneticPr fontId="47" type="noConversion"/>
  <pageMargins left="1.31" right="0.75" top="0.56999999999999995" bottom="0.45" header="0.5" footer="0.5"/>
  <pageSetup scale="90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G53"/>
  <sheetViews>
    <sheetView topLeftCell="A4" workbookViewId="0">
      <selection activeCell="H14" sqref="H14"/>
    </sheetView>
  </sheetViews>
  <sheetFormatPr defaultRowHeight="12.75"/>
  <cols>
    <col min="2" max="2" width="16.5703125" customWidth="1"/>
    <col min="3" max="3" width="15.42578125" customWidth="1"/>
    <col min="4" max="4" width="15.140625" customWidth="1"/>
    <col min="5" max="5" width="15.28515625" customWidth="1"/>
    <col min="6" max="6" width="14.5703125" customWidth="1"/>
    <col min="7" max="7" width="13.5703125" customWidth="1"/>
    <col min="8" max="8" width="9" customWidth="1"/>
  </cols>
  <sheetData>
    <row r="2" spans="2:7" ht="19.5">
      <c r="B2" s="223" t="s">
        <v>79</v>
      </c>
      <c r="C2" s="223"/>
      <c r="D2" s="223"/>
      <c r="E2" s="223"/>
      <c r="F2" s="223"/>
      <c r="G2" s="223"/>
    </row>
    <row r="3" spans="2:7" ht="13.5" thickBot="1"/>
    <row r="4" spans="2:7" ht="21" customHeight="1" thickBot="1">
      <c r="B4" s="85" t="s">
        <v>1</v>
      </c>
      <c r="C4" s="202" t="s">
        <v>17</v>
      </c>
      <c r="D4" s="202" t="s">
        <v>150</v>
      </c>
      <c r="E4" s="202" t="s">
        <v>156</v>
      </c>
      <c r="F4" s="463" t="s">
        <v>158</v>
      </c>
      <c r="G4" s="463" t="s">
        <v>162</v>
      </c>
    </row>
    <row r="5" spans="2:7" ht="18.95" customHeight="1" thickBot="1">
      <c r="B5" s="86" t="s">
        <v>2</v>
      </c>
      <c r="C5" s="90">
        <v>28.646000000000001</v>
      </c>
      <c r="D5" s="90">
        <v>31.823</v>
      </c>
      <c r="E5" s="456">
        <v>36.784999999999997</v>
      </c>
      <c r="F5" s="458">
        <v>36.750999999999998</v>
      </c>
      <c r="G5" s="460">
        <v>38.158999999999999</v>
      </c>
    </row>
    <row r="6" spans="2:7" ht="18.95" customHeight="1" thickBot="1">
      <c r="B6" s="87" t="s">
        <v>3</v>
      </c>
      <c r="C6" s="91">
        <v>35.034999999999997</v>
      </c>
      <c r="D6" s="91">
        <v>37.722999999999999</v>
      </c>
      <c r="E6" s="343">
        <v>38.082000000000001</v>
      </c>
      <c r="F6" s="459">
        <v>37.896999999999998</v>
      </c>
      <c r="G6" s="460">
        <v>34.423999999999999</v>
      </c>
    </row>
    <row r="7" spans="2:7" ht="18.95" customHeight="1" thickBot="1">
      <c r="B7" s="87" t="s">
        <v>4</v>
      </c>
      <c r="C7" s="91">
        <v>32.753999999999998</v>
      </c>
      <c r="D7" s="91">
        <v>37.494999999999997</v>
      </c>
      <c r="E7" s="343">
        <v>38.478999999999999</v>
      </c>
      <c r="F7" s="459">
        <v>35.927999999999997</v>
      </c>
      <c r="G7" s="460">
        <v>33.235999999999997</v>
      </c>
    </row>
    <row r="8" spans="2:7" ht="18.95" customHeight="1" thickBot="1">
      <c r="B8" s="87" t="s">
        <v>5</v>
      </c>
      <c r="C8" s="91">
        <v>29.837</v>
      </c>
      <c r="D8" s="91">
        <v>37.648000000000003</v>
      </c>
      <c r="E8" s="343">
        <v>31.873999999999999</v>
      </c>
      <c r="F8" s="459">
        <v>27.501000000000001</v>
      </c>
      <c r="G8" s="460">
        <v>32.987000000000002</v>
      </c>
    </row>
    <row r="9" spans="2:7" ht="18.95" customHeight="1" thickBot="1">
      <c r="B9" s="87" t="s">
        <v>6</v>
      </c>
      <c r="C9" s="91">
        <v>26.988</v>
      </c>
      <c r="D9" s="91">
        <v>37.649000000000001</v>
      </c>
      <c r="E9" s="343">
        <v>31.373999999999999</v>
      </c>
      <c r="F9" s="459">
        <v>28.02</v>
      </c>
      <c r="G9" s="460">
        <v>27.655000000000001</v>
      </c>
    </row>
    <row r="10" spans="2:7" ht="18.95" customHeight="1" thickBot="1">
      <c r="B10" s="87" t="s">
        <v>7</v>
      </c>
      <c r="C10" s="91">
        <v>22.515999999999998</v>
      </c>
      <c r="D10" s="91">
        <v>35.335000000000001</v>
      </c>
      <c r="E10" s="343">
        <v>22.757999999999999</v>
      </c>
      <c r="F10" s="459">
        <v>18.68</v>
      </c>
      <c r="G10" s="460">
        <v>32.578000000000003</v>
      </c>
    </row>
    <row r="11" spans="2:7" ht="18.95" customHeight="1" thickBot="1">
      <c r="B11" s="87" t="s">
        <v>8</v>
      </c>
      <c r="C11" s="91">
        <v>18.965</v>
      </c>
      <c r="D11" s="91">
        <v>35.56</v>
      </c>
      <c r="E11" s="343">
        <v>21.92</v>
      </c>
      <c r="F11" s="459">
        <v>12.173999999999999</v>
      </c>
      <c r="G11" s="460">
        <v>35.573</v>
      </c>
    </row>
    <row r="12" spans="2:7" ht="18.95" customHeight="1" thickBot="1">
      <c r="B12" s="87" t="s">
        <v>9</v>
      </c>
      <c r="C12" s="91">
        <v>18.495000000000001</v>
      </c>
      <c r="D12" s="91">
        <v>37.720999999999997</v>
      </c>
      <c r="E12" s="343">
        <v>21</v>
      </c>
      <c r="F12" s="459">
        <v>11.875999999999999</v>
      </c>
      <c r="G12" s="460">
        <v>35.213999999999999</v>
      </c>
    </row>
    <row r="13" spans="2:7" ht="18.95" customHeight="1" thickBot="1">
      <c r="B13" s="87" t="s">
        <v>10</v>
      </c>
      <c r="C13" s="91">
        <v>18.288</v>
      </c>
      <c r="D13" s="91">
        <v>38.298999999999999</v>
      </c>
      <c r="E13" s="343">
        <v>20.684000000000001</v>
      </c>
      <c r="F13" s="459">
        <v>11.587999999999999</v>
      </c>
      <c r="G13" s="460">
        <v>33.070999999999998</v>
      </c>
    </row>
    <row r="14" spans="2:7" ht="18.95" customHeight="1" thickBot="1">
      <c r="B14" s="87" t="s">
        <v>11</v>
      </c>
      <c r="C14" s="91">
        <v>17.577999999999999</v>
      </c>
      <c r="D14" s="91">
        <v>38.307000000000002</v>
      </c>
      <c r="E14" s="343">
        <v>14.063000000000001</v>
      </c>
      <c r="F14" s="459">
        <v>14.84</v>
      </c>
      <c r="G14" s="460">
        <v>31.713999999999999</v>
      </c>
    </row>
    <row r="15" spans="2:7" ht="18.95" customHeight="1" thickBot="1">
      <c r="B15" s="87" t="s">
        <v>12</v>
      </c>
      <c r="C15" s="91">
        <v>19.321999999999999</v>
      </c>
      <c r="D15" s="91">
        <v>38.134999999999998</v>
      </c>
      <c r="E15" s="343">
        <v>24.367999999999999</v>
      </c>
      <c r="F15" s="459">
        <v>18.68</v>
      </c>
      <c r="G15" s="460">
        <f>+UTAMA!I47</f>
        <v>29.584</v>
      </c>
    </row>
    <row r="16" spans="2:7" ht="18.95" customHeight="1" thickBot="1">
      <c r="B16" s="88" t="s">
        <v>13</v>
      </c>
      <c r="C16" s="92">
        <v>14.917</v>
      </c>
      <c r="D16" s="92">
        <v>36.064999999999998</v>
      </c>
      <c r="E16" s="344">
        <v>31.873999999999999</v>
      </c>
      <c r="F16" s="460">
        <v>38.036000000000001</v>
      </c>
      <c r="G16" s="460">
        <f>+UTAMA!I47</f>
        <v>29.584</v>
      </c>
    </row>
    <row r="17" spans="2:7" ht="18.95" customHeight="1">
      <c r="B17" s="131"/>
      <c r="C17" s="42"/>
      <c r="D17" s="42"/>
      <c r="E17" s="42"/>
      <c r="F17" s="42"/>
      <c r="G17" s="42"/>
    </row>
    <row r="18" spans="2:7" ht="18.95" customHeight="1">
      <c r="B18" s="131"/>
      <c r="C18" s="42"/>
      <c r="D18" s="42"/>
      <c r="E18" s="42"/>
      <c r="F18" s="42"/>
      <c r="G18" s="42"/>
    </row>
    <row r="39" spans="1:1">
      <c r="A39" s="77"/>
    </row>
    <row r="51" spans="2:3">
      <c r="B51" s="79" t="s">
        <v>14</v>
      </c>
      <c r="C51" s="79"/>
    </row>
    <row r="52" spans="2:3">
      <c r="B52" s="79" t="s">
        <v>15</v>
      </c>
    </row>
    <row r="53" spans="2:3">
      <c r="B53" s="79"/>
    </row>
  </sheetData>
  <phoneticPr fontId="47" type="noConversion"/>
  <pageMargins left="0.98228346499999997" right="0.35433070866141703" top="0.62992125984252001" bottom="0.55118110236220497" header="0.511811023622047" footer="0.511811023622047"/>
  <pageSetup scale="85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Q51"/>
  <sheetViews>
    <sheetView topLeftCell="A7" zoomScaleSheetLayoutView="120" workbookViewId="0">
      <selection activeCell="G16" sqref="G16"/>
    </sheetView>
  </sheetViews>
  <sheetFormatPr defaultRowHeight="12.75"/>
  <cols>
    <col min="2" max="2" width="14" customWidth="1"/>
    <col min="3" max="3" width="15.85546875" customWidth="1"/>
    <col min="4" max="4" width="15.5703125" customWidth="1"/>
    <col min="5" max="6" width="16" customWidth="1"/>
    <col min="7" max="7" width="15.5703125" customWidth="1"/>
    <col min="8" max="8" width="20.42578125" customWidth="1"/>
    <col min="10" max="10" width="10.85546875" customWidth="1"/>
    <col min="11" max="11" width="11.5703125" customWidth="1"/>
    <col min="12" max="14" width="11.85546875" customWidth="1"/>
    <col min="15" max="15" width="12.5703125" customWidth="1"/>
    <col min="16" max="16" width="11.7109375" customWidth="1"/>
  </cols>
  <sheetData>
    <row r="2" spans="2:17" ht="19.5">
      <c r="B2" s="223" t="s">
        <v>160</v>
      </c>
      <c r="C2" s="223"/>
      <c r="D2" s="223"/>
      <c r="E2" s="223"/>
      <c r="F2" s="223"/>
      <c r="G2" s="223"/>
      <c r="J2" s="235"/>
      <c r="K2" s="235"/>
      <c r="L2" s="235"/>
      <c r="M2" s="235"/>
      <c r="N2" s="235"/>
      <c r="O2" s="235"/>
      <c r="P2" s="235"/>
      <c r="Q2" s="235"/>
    </row>
    <row r="3" spans="2:17" ht="13.5" thickBot="1">
      <c r="J3" s="81"/>
      <c r="K3" s="81"/>
      <c r="L3" s="81"/>
      <c r="M3" s="81"/>
      <c r="N3" s="81"/>
      <c r="O3" s="81"/>
      <c r="P3" s="81"/>
      <c r="Q3" s="81"/>
    </row>
    <row r="4" spans="2:17" ht="24.95" customHeight="1" thickBot="1">
      <c r="B4" s="101" t="s">
        <v>1</v>
      </c>
      <c r="C4" s="102" t="s">
        <v>17</v>
      </c>
      <c r="D4" s="102" t="s">
        <v>150</v>
      </c>
      <c r="E4" s="371" t="s">
        <v>156</v>
      </c>
      <c r="F4" s="372" t="s">
        <v>158</v>
      </c>
      <c r="G4" s="372" t="s">
        <v>162</v>
      </c>
      <c r="J4" s="93"/>
      <c r="K4" s="94"/>
      <c r="L4" s="94"/>
      <c r="M4" s="94"/>
      <c r="N4" s="94"/>
      <c r="O4" s="94"/>
      <c r="P4" s="94"/>
      <c r="Q4" s="95"/>
    </row>
    <row r="5" spans="2:17" ht="21" customHeight="1">
      <c r="B5" s="86" t="s">
        <v>2</v>
      </c>
      <c r="C5" s="346">
        <v>167.06</v>
      </c>
      <c r="D5" s="347">
        <v>134.67500000000001</v>
      </c>
      <c r="E5" s="347">
        <v>324.137</v>
      </c>
      <c r="F5" s="348">
        <v>248.17400000000001</v>
      </c>
      <c r="G5" s="348">
        <v>311.589</v>
      </c>
      <c r="J5" s="93"/>
      <c r="K5" s="96"/>
      <c r="L5" s="96"/>
      <c r="M5" s="96"/>
      <c r="N5" s="96"/>
      <c r="O5" s="96"/>
      <c r="P5" s="96"/>
      <c r="Q5" s="97"/>
    </row>
    <row r="6" spans="2:17" ht="21" customHeight="1">
      <c r="B6" s="87" t="s">
        <v>3</v>
      </c>
      <c r="C6" s="349">
        <v>308.12700000000001</v>
      </c>
      <c r="D6" s="349">
        <v>265.55700000000002</v>
      </c>
      <c r="E6" s="349">
        <v>360.44299999999998</v>
      </c>
      <c r="F6" s="348">
        <v>344.10700000000003</v>
      </c>
      <c r="G6" s="348">
        <v>340.22899999999998</v>
      </c>
      <c r="J6" s="93"/>
      <c r="K6" s="96"/>
      <c r="L6" s="96"/>
      <c r="M6" s="96"/>
      <c r="N6" s="96"/>
      <c r="O6" s="96"/>
      <c r="P6" s="98"/>
      <c r="Q6" s="97"/>
    </row>
    <row r="7" spans="2:17" ht="21" customHeight="1">
      <c r="B7" s="87" t="s">
        <v>4</v>
      </c>
      <c r="C7" s="349">
        <v>254.74</v>
      </c>
      <c r="D7" s="349">
        <v>395.87599999999998</v>
      </c>
      <c r="E7" s="349">
        <v>389.40600000000001</v>
      </c>
      <c r="F7" s="348">
        <v>350.56099999999998</v>
      </c>
      <c r="G7" s="348">
        <v>330.26299999999998</v>
      </c>
      <c r="J7" s="93"/>
      <c r="K7" s="96"/>
      <c r="L7" s="96"/>
      <c r="M7" s="96"/>
      <c r="N7" s="96"/>
      <c r="O7" s="96"/>
      <c r="P7" s="96"/>
      <c r="Q7" s="97"/>
    </row>
    <row r="8" spans="2:17" ht="21" customHeight="1">
      <c r="B8" s="87" t="s">
        <v>5</v>
      </c>
      <c r="C8" s="349">
        <v>287.72199999999998</v>
      </c>
      <c r="D8" s="349">
        <v>398.76</v>
      </c>
      <c r="E8" s="349">
        <v>390.11500000000001</v>
      </c>
      <c r="F8" s="348">
        <v>351.21499999999997</v>
      </c>
      <c r="G8" s="348">
        <v>403.90199999999999</v>
      </c>
      <c r="J8" s="93"/>
      <c r="K8" s="96"/>
      <c r="L8" s="96"/>
      <c r="M8" s="96"/>
      <c r="N8" s="96"/>
      <c r="O8" s="96"/>
      <c r="P8" s="96"/>
      <c r="Q8" s="97"/>
    </row>
    <row r="9" spans="2:17" ht="21" customHeight="1">
      <c r="B9" s="87" t="s">
        <v>6</v>
      </c>
      <c r="C9" s="350">
        <v>286.88499999999999</v>
      </c>
      <c r="D9" s="350">
        <v>397.31799999999998</v>
      </c>
      <c r="E9" s="350">
        <v>353.83</v>
      </c>
      <c r="F9" s="348">
        <v>361.108</v>
      </c>
      <c r="G9" s="348">
        <v>406.86399999999998</v>
      </c>
      <c r="J9" s="93"/>
      <c r="K9" s="96"/>
      <c r="L9" s="96"/>
      <c r="M9" s="96"/>
      <c r="N9" s="96"/>
      <c r="O9" s="96"/>
      <c r="P9" s="96"/>
      <c r="Q9" s="99"/>
    </row>
    <row r="10" spans="2:17" ht="21" customHeight="1">
      <c r="B10" s="87" t="s">
        <v>7</v>
      </c>
      <c r="C10" s="349">
        <v>243.35</v>
      </c>
      <c r="D10" s="349">
        <v>342.15699999999998</v>
      </c>
      <c r="E10" s="349">
        <v>296.661</v>
      </c>
      <c r="F10" s="348">
        <v>296.661</v>
      </c>
      <c r="G10" s="348">
        <v>430.41469999999998</v>
      </c>
      <c r="J10" s="93"/>
      <c r="K10" s="96"/>
      <c r="L10" s="96"/>
      <c r="M10" s="96"/>
      <c r="N10" s="96"/>
      <c r="O10" s="96"/>
      <c r="P10" s="96"/>
      <c r="Q10" s="99"/>
    </row>
    <row r="11" spans="2:17" ht="21" customHeight="1">
      <c r="B11" s="87" t="s">
        <v>8</v>
      </c>
      <c r="C11" s="349">
        <v>163.58000000000001</v>
      </c>
      <c r="D11" s="349">
        <v>294.50299999999999</v>
      </c>
      <c r="E11" s="349">
        <v>245.78700000000001</v>
      </c>
      <c r="F11" s="348">
        <v>208.74700000000001</v>
      </c>
      <c r="G11" s="348">
        <v>387.28</v>
      </c>
      <c r="J11" s="93"/>
      <c r="K11" s="96"/>
      <c r="L11" s="96"/>
      <c r="M11" s="96"/>
      <c r="N11" s="96"/>
      <c r="O11" s="96"/>
      <c r="P11" s="96"/>
      <c r="Q11" s="99"/>
    </row>
    <row r="12" spans="2:17" ht="21" customHeight="1">
      <c r="B12" s="87" t="s">
        <v>9</v>
      </c>
      <c r="C12" s="349">
        <v>77</v>
      </c>
      <c r="D12" s="349">
        <v>214.21799999999999</v>
      </c>
      <c r="E12" s="349">
        <v>189.57400000000001</v>
      </c>
      <c r="F12" s="348">
        <v>148.83000000000001</v>
      </c>
      <c r="G12" s="348">
        <v>231.8</v>
      </c>
      <c r="J12" s="93"/>
      <c r="K12" s="96"/>
      <c r="L12" s="96"/>
      <c r="M12" s="96"/>
      <c r="N12" s="96"/>
      <c r="O12" s="96"/>
      <c r="P12" s="96"/>
      <c r="Q12" s="99"/>
    </row>
    <row r="13" spans="2:17" ht="21" customHeight="1">
      <c r="B13" s="87" t="s">
        <v>10</v>
      </c>
      <c r="C13" s="349">
        <v>98.131</v>
      </c>
      <c r="D13" s="349">
        <v>236.38399999999999</v>
      </c>
      <c r="E13" s="349">
        <v>125.77</v>
      </c>
      <c r="F13" s="348">
        <v>89.375</v>
      </c>
      <c r="G13" s="348">
        <v>115.7</v>
      </c>
      <c r="J13" s="93"/>
      <c r="K13" s="96"/>
      <c r="L13" s="96"/>
      <c r="M13" s="96"/>
      <c r="N13" s="96"/>
      <c r="O13" s="96"/>
      <c r="P13" s="96"/>
      <c r="Q13" s="99"/>
    </row>
    <row r="14" spans="2:17" ht="21" customHeight="1">
      <c r="B14" s="87" t="s">
        <v>11</v>
      </c>
      <c r="C14" s="351">
        <v>87.646000000000001</v>
      </c>
      <c r="D14" s="349">
        <v>190.34299999999999</v>
      </c>
      <c r="E14" s="349">
        <v>105.254</v>
      </c>
      <c r="F14" s="348">
        <v>65.614999999999995</v>
      </c>
      <c r="G14" s="348">
        <v>79.325000000000003</v>
      </c>
      <c r="J14" s="93"/>
      <c r="K14" s="96"/>
      <c r="L14" s="96"/>
      <c r="M14" s="96"/>
      <c r="N14" s="96"/>
      <c r="O14" s="96"/>
      <c r="P14" s="96"/>
      <c r="Q14" s="97"/>
    </row>
    <row r="15" spans="2:17" ht="21" customHeight="1">
      <c r="B15" s="87" t="s">
        <v>12</v>
      </c>
      <c r="C15" s="349">
        <v>96.293000000000006</v>
      </c>
      <c r="D15" s="349">
        <v>232.255</v>
      </c>
      <c r="E15" s="349">
        <v>110.194</v>
      </c>
      <c r="F15" s="348">
        <v>81.355999999999995</v>
      </c>
      <c r="G15" s="348">
        <v>103.36499999999999</v>
      </c>
      <c r="J15" s="93"/>
      <c r="K15" s="96"/>
      <c r="L15" s="96"/>
      <c r="M15" s="96"/>
      <c r="N15" s="96"/>
      <c r="O15" s="96"/>
      <c r="P15" s="96"/>
      <c r="Q15" s="99"/>
    </row>
    <row r="16" spans="2:17" ht="21" customHeight="1" thickBot="1">
      <c r="B16" s="88" t="s">
        <v>13</v>
      </c>
      <c r="C16" s="352">
        <v>90.908000000000001</v>
      </c>
      <c r="D16" s="352">
        <v>135.19</v>
      </c>
      <c r="E16" s="352">
        <v>120.58799999999999</v>
      </c>
      <c r="F16" s="348">
        <v>219.798</v>
      </c>
      <c r="G16" s="348">
        <f>UTAMA!I27</f>
        <v>224.179</v>
      </c>
      <c r="J16" s="93"/>
      <c r="K16" s="100"/>
      <c r="L16" s="100"/>
      <c r="M16" s="100"/>
      <c r="N16" s="100"/>
      <c r="O16" s="100"/>
      <c r="P16" s="100"/>
      <c r="Q16" s="80"/>
    </row>
    <row r="17" spans="10:17">
      <c r="J17" s="81"/>
      <c r="K17" s="81"/>
      <c r="L17" s="81"/>
      <c r="M17" s="81"/>
      <c r="N17" s="81"/>
      <c r="O17" s="81"/>
      <c r="P17" s="81"/>
      <c r="Q17" s="81"/>
    </row>
    <row r="18" spans="10:17">
      <c r="J18" s="81"/>
      <c r="K18" s="81"/>
      <c r="L18" s="81"/>
      <c r="M18" s="81"/>
      <c r="N18" s="81"/>
      <c r="O18" s="81"/>
      <c r="P18" s="81"/>
      <c r="Q18" s="81"/>
    </row>
    <row r="19" spans="10:17">
      <c r="J19" s="81"/>
      <c r="K19" s="81"/>
      <c r="L19" s="81"/>
      <c r="M19" s="81"/>
      <c r="N19" s="81"/>
      <c r="O19" s="81"/>
      <c r="P19" s="81"/>
      <c r="Q19" s="81"/>
    </row>
    <row r="20" spans="10:17">
      <c r="J20" s="81"/>
      <c r="K20" s="81"/>
      <c r="L20" s="81"/>
      <c r="M20" s="81"/>
      <c r="N20" s="81"/>
      <c r="O20" s="81"/>
      <c r="P20" s="81"/>
      <c r="Q20" s="81"/>
    </row>
    <row r="21" spans="10:17">
      <c r="J21" s="81"/>
      <c r="K21" s="81"/>
      <c r="L21" s="81"/>
      <c r="M21" s="81"/>
      <c r="N21" s="81"/>
      <c r="O21" s="81"/>
      <c r="P21" s="81"/>
      <c r="Q21" s="81"/>
    </row>
    <row r="22" spans="10:17">
      <c r="J22" s="81"/>
      <c r="K22" s="81"/>
      <c r="L22" s="81"/>
      <c r="M22" s="81"/>
      <c r="N22" s="81"/>
      <c r="O22" s="81"/>
      <c r="P22" s="81"/>
      <c r="Q22" s="81"/>
    </row>
    <row r="23" spans="10:17">
      <c r="J23" s="81"/>
      <c r="K23" s="81"/>
      <c r="L23" s="81"/>
      <c r="M23" s="81"/>
      <c r="N23" s="81"/>
      <c r="O23" s="81"/>
      <c r="P23" s="81"/>
      <c r="Q23" s="81"/>
    </row>
    <row r="24" spans="10:17">
      <c r="J24" s="81"/>
      <c r="K24" s="81"/>
      <c r="L24" s="81"/>
      <c r="M24" s="81"/>
      <c r="N24" s="81"/>
      <c r="O24" s="81"/>
      <c r="P24" s="81"/>
      <c r="Q24" s="81"/>
    </row>
    <row r="25" spans="10:17">
      <c r="J25" s="81"/>
      <c r="K25" s="81"/>
      <c r="L25" s="81"/>
      <c r="M25" s="81"/>
      <c r="N25" s="81"/>
      <c r="O25" s="81"/>
      <c r="P25" s="81"/>
      <c r="Q25" s="81"/>
    </row>
    <row r="26" spans="10:17">
      <c r="J26" s="81"/>
      <c r="K26" s="81"/>
      <c r="L26" s="81"/>
      <c r="M26" s="81"/>
      <c r="N26" s="81"/>
      <c r="O26" s="81"/>
      <c r="P26" s="81"/>
      <c r="Q26" s="81"/>
    </row>
    <row r="27" spans="10:17">
      <c r="J27" s="81"/>
      <c r="K27" s="81"/>
      <c r="L27" s="81"/>
      <c r="M27" s="81"/>
      <c r="N27" s="81"/>
      <c r="O27" s="81"/>
      <c r="P27" s="81"/>
      <c r="Q27" s="81"/>
    </row>
    <row r="28" spans="10:17">
      <c r="J28" s="81"/>
      <c r="K28" s="81"/>
      <c r="L28" s="81"/>
      <c r="M28" s="81"/>
      <c r="N28" s="81"/>
      <c r="O28" s="81"/>
      <c r="P28" s="81"/>
      <c r="Q28" s="81"/>
    </row>
    <row r="29" spans="10:17">
      <c r="J29" s="81"/>
      <c r="K29" s="81"/>
      <c r="L29" s="81"/>
      <c r="M29" s="81"/>
      <c r="N29" s="81"/>
      <c r="O29" s="81"/>
      <c r="P29" s="81"/>
      <c r="Q29" s="81"/>
    </row>
    <row r="30" spans="10:17">
      <c r="J30" s="81"/>
      <c r="K30" s="81"/>
      <c r="L30" s="81"/>
      <c r="M30" s="81"/>
      <c r="N30" s="81"/>
      <c r="O30" s="81"/>
      <c r="P30" s="81"/>
      <c r="Q30" s="81"/>
    </row>
    <row r="31" spans="10:17">
      <c r="J31" s="81"/>
      <c r="K31" s="81"/>
      <c r="L31" s="81"/>
      <c r="M31" s="81"/>
      <c r="N31" s="81"/>
      <c r="O31" s="81"/>
      <c r="P31" s="81"/>
      <c r="Q31" s="81"/>
    </row>
    <row r="32" spans="10:17">
      <c r="J32" s="81"/>
      <c r="K32" s="81"/>
      <c r="L32" s="81"/>
      <c r="M32" s="81"/>
      <c r="N32" s="81"/>
      <c r="O32" s="81"/>
      <c r="P32" s="81"/>
      <c r="Q32" s="81"/>
    </row>
    <row r="33" spans="1:17">
      <c r="J33" s="81"/>
      <c r="K33" s="81"/>
      <c r="L33" s="81"/>
      <c r="M33" s="81"/>
      <c r="N33" s="81"/>
      <c r="O33" s="81"/>
      <c r="P33" s="81"/>
      <c r="Q33" s="81"/>
    </row>
    <row r="34" spans="1:17">
      <c r="J34" s="81"/>
      <c r="K34" s="81"/>
      <c r="L34" s="81"/>
      <c r="M34" s="81"/>
      <c r="N34" s="81"/>
      <c r="O34" s="81"/>
      <c r="P34" s="81"/>
      <c r="Q34" s="81"/>
    </row>
    <row r="35" spans="1:17">
      <c r="J35" s="81"/>
      <c r="K35" s="81"/>
      <c r="L35" s="81"/>
      <c r="M35" s="81"/>
      <c r="N35" s="81"/>
      <c r="O35" s="81"/>
      <c r="P35" s="81"/>
      <c r="Q35" s="81"/>
    </row>
    <row r="36" spans="1:17">
      <c r="J36" s="81"/>
      <c r="K36" s="81"/>
      <c r="L36" s="81"/>
      <c r="M36" s="81"/>
      <c r="N36" s="81"/>
      <c r="O36" s="81"/>
      <c r="P36" s="81"/>
      <c r="Q36" s="81"/>
    </row>
    <row r="37" spans="1:17">
      <c r="J37" s="81"/>
      <c r="K37" s="81"/>
      <c r="L37" s="81"/>
      <c r="M37" s="81"/>
      <c r="N37" s="81"/>
      <c r="O37" s="81"/>
      <c r="P37" s="81"/>
      <c r="Q37" s="81"/>
    </row>
    <row r="38" spans="1:17">
      <c r="A38" s="77"/>
      <c r="J38" s="81"/>
      <c r="K38" s="81"/>
      <c r="L38" s="81"/>
      <c r="M38" s="81"/>
      <c r="N38" s="81"/>
      <c r="O38" s="81"/>
      <c r="P38" s="81"/>
      <c r="Q38" s="81"/>
    </row>
    <row r="39" spans="1:17">
      <c r="J39" s="81"/>
      <c r="K39" s="81"/>
      <c r="L39" s="81"/>
      <c r="M39" s="81"/>
      <c r="N39" s="81"/>
      <c r="O39" s="81"/>
      <c r="P39" s="81"/>
      <c r="Q39" s="81"/>
    </row>
    <row r="40" spans="1:17">
      <c r="J40" s="81"/>
      <c r="K40" s="81"/>
      <c r="L40" s="81"/>
      <c r="M40" s="81"/>
      <c r="N40" s="81"/>
      <c r="O40" s="81"/>
      <c r="P40" s="81"/>
      <c r="Q40" s="81"/>
    </row>
    <row r="41" spans="1:17">
      <c r="J41" s="81"/>
      <c r="K41" s="81"/>
      <c r="L41" s="81"/>
      <c r="M41" s="81"/>
      <c r="N41" s="81"/>
      <c r="O41" s="81"/>
      <c r="P41" s="81"/>
      <c r="Q41" s="81"/>
    </row>
    <row r="42" spans="1:17">
      <c r="J42" s="81"/>
      <c r="K42" s="81"/>
      <c r="L42" s="81"/>
      <c r="M42" s="81"/>
      <c r="N42" s="81"/>
      <c r="O42" s="81"/>
      <c r="P42" s="81"/>
      <c r="Q42" s="81"/>
    </row>
    <row r="43" spans="1:17">
      <c r="J43" s="81"/>
      <c r="K43" s="81"/>
      <c r="L43" s="81"/>
      <c r="M43" s="81"/>
      <c r="N43" s="81"/>
      <c r="O43" s="81"/>
      <c r="P43" s="81"/>
      <c r="Q43" s="81"/>
    </row>
    <row r="44" spans="1:17">
      <c r="J44" s="81"/>
      <c r="K44" s="81"/>
      <c r="L44" s="81"/>
      <c r="M44" s="81"/>
      <c r="N44" s="81"/>
      <c r="O44" s="81"/>
      <c r="P44" s="81"/>
      <c r="Q44" s="81"/>
    </row>
    <row r="45" spans="1:17">
      <c r="J45" s="81"/>
      <c r="K45" s="81"/>
      <c r="L45" s="81"/>
      <c r="M45" s="81"/>
      <c r="N45" s="81"/>
      <c r="O45" s="81"/>
      <c r="P45" s="81"/>
      <c r="Q45" s="81"/>
    </row>
    <row r="46" spans="1:17">
      <c r="J46" s="81"/>
      <c r="K46" s="81"/>
      <c r="L46" s="81"/>
      <c r="M46" s="81"/>
      <c r="N46" s="81"/>
      <c r="O46" s="81"/>
      <c r="P46" s="81"/>
      <c r="Q46" s="81"/>
    </row>
    <row r="47" spans="1:17">
      <c r="B47" s="79"/>
      <c r="J47" s="81"/>
      <c r="K47" s="81"/>
      <c r="L47" s="81"/>
      <c r="M47" s="81"/>
      <c r="N47" s="81"/>
      <c r="O47" s="81"/>
      <c r="P47" s="81"/>
      <c r="Q47" s="81"/>
    </row>
    <row r="48" spans="1:17">
      <c r="B48" s="79" t="s">
        <v>14</v>
      </c>
      <c r="C48" s="79"/>
      <c r="J48" s="81"/>
      <c r="K48" s="81"/>
      <c r="L48" s="81"/>
      <c r="M48" s="81"/>
      <c r="N48" s="81"/>
      <c r="O48" s="81"/>
      <c r="P48" s="81"/>
      <c r="Q48" s="81"/>
    </row>
    <row r="49" spans="2:17">
      <c r="B49" s="79" t="s">
        <v>15</v>
      </c>
      <c r="J49" s="81"/>
      <c r="K49" s="81"/>
      <c r="L49" s="81"/>
      <c r="M49" s="81"/>
      <c r="N49" s="81"/>
      <c r="O49" s="81"/>
      <c r="P49" s="81"/>
      <c r="Q49" s="81"/>
    </row>
    <row r="50" spans="2:17">
      <c r="B50" s="79"/>
      <c r="J50" s="38"/>
      <c r="K50" s="81"/>
      <c r="L50" s="81"/>
      <c r="M50" s="81"/>
      <c r="N50" s="81"/>
      <c r="O50" s="81"/>
      <c r="P50" s="81"/>
      <c r="Q50" s="81"/>
    </row>
    <row r="51" spans="2:17">
      <c r="J51" s="81"/>
      <c r="K51" s="81"/>
      <c r="L51" s="81"/>
      <c r="M51" s="81"/>
      <c r="N51" s="81"/>
      <c r="O51" s="81"/>
      <c r="P51" s="81"/>
      <c r="Q51" s="81"/>
    </row>
  </sheetData>
  <pageMargins left="1.62" right="0.75" top="0.69" bottom="0.55000000000000004" header="0.69" footer="0.83"/>
  <pageSetup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Q51"/>
  <sheetViews>
    <sheetView topLeftCell="A13" zoomScaleSheetLayoutView="120" workbookViewId="0">
      <selection activeCell="H23" sqref="H23"/>
    </sheetView>
  </sheetViews>
  <sheetFormatPr defaultRowHeight="12.75"/>
  <cols>
    <col min="2" max="2" width="14" customWidth="1"/>
    <col min="3" max="3" width="15.85546875" customWidth="1"/>
    <col min="4" max="4" width="15.5703125" customWidth="1"/>
    <col min="5" max="6" width="16" customWidth="1"/>
    <col min="7" max="7" width="15.5703125" customWidth="1"/>
    <col min="8" max="8" width="20.42578125" customWidth="1"/>
    <col min="10" max="10" width="10.85546875" customWidth="1"/>
    <col min="11" max="11" width="11.5703125" customWidth="1"/>
    <col min="12" max="14" width="11.85546875" customWidth="1"/>
    <col min="15" max="15" width="12.5703125" customWidth="1"/>
    <col min="16" max="16" width="11.7109375" customWidth="1"/>
  </cols>
  <sheetData>
    <row r="2" spans="2:17" ht="19.5">
      <c r="B2" s="223" t="s">
        <v>80</v>
      </c>
      <c r="C2" s="223"/>
      <c r="D2" s="223"/>
      <c r="E2" s="223"/>
      <c r="F2" s="223"/>
      <c r="G2" s="223"/>
      <c r="J2" s="235"/>
      <c r="K2" s="235"/>
      <c r="L2" s="235"/>
      <c r="M2" s="235"/>
      <c r="N2" s="235"/>
      <c r="O2" s="235"/>
      <c r="P2" s="235"/>
      <c r="Q2" s="235"/>
    </row>
    <row r="3" spans="2:17" ht="13.5" thickBot="1">
      <c r="J3" s="81"/>
      <c r="K3" s="81"/>
      <c r="L3" s="81"/>
      <c r="M3" s="81"/>
      <c r="N3" s="81"/>
      <c r="O3" s="81"/>
      <c r="P3" s="81"/>
      <c r="Q3" s="81"/>
    </row>
    <row r="4" spans="2:17" ht="24.95" customHeight="1" thickBot="1">
      <c r="B4" s="101" t="s">
        <v>1</v>
      </c>
      <c r="C4" s="102" t="s">
        <v>17</v>
      </c>
      <c r="D4" s="102" t="s">
        <v>150</v>
      </c>
      <c r="E4" s="102" t="s">
        <v>156</v>
      </c>
      <c r="F4" s="345" t="s">
        <v>158</v>
      </c>
      <c r="G4" s="345" t="s">
        <v>162</v>
      </c>
      <c r="J4" s="93"/>
      <c r="K4" s="94"/>
      <c r="L4" s="94"/>
      <c r="M4" s="94"/>
      <c r="N4" s="94"/>
      <c r="O4" s="94"/>
      <c r="P4" s="94"/>
      <c r="Q4" s="95"/>
    </row>
    <row r="5" spans="2:17" ht="21" customHeight="1" thickBot="1">
      <c r="B5" s="86" t="s">
        <v>2</v>
      </c>
      <c r="C5" s="108">
        <v>235.321</v>
      </c>
      <c r="D5" s="108">
        <v>240.72399999999999</v>
      </c>
      <c r="E5" s="339">
        <v>386.84500000000003</v>
      </c>
      <c r="F5" s="464">
        <v>375.27</v>
      </c>
      <c r="G5" s="445">
        <v>317.65699999999998</v>
      </c>
      <c r="J5" s="93"/>
      <c r="K5" s="96"/>
      <c r="L5" s="96"/>
      <c r="M5" s="96"/>
      <c r="N5" s="96"/>
      <c r="O5" s="96"/>
      <c r="P5" s="96"/>
      <c r="Q5" s="97"/>
    </row>
    <row r="6" spans="2:17" ht="21" customHeight="1" thickBot="1">
      <c r="B6" s="87" t="s">
        <v>3</v>
      </c>
      <c r="C6" s="109">
        <v>295.46499999999997</v>
      </c>
      <c r="D6" s="109">
        <v>300.5</v>
      </c>
      <c r="E6" s="340">
        <v>388.30500000000001</v>
      </c>
      <c r="F6" s="465">
        <v>381.52699999999999</v>
      </c>
      <c r="G6" s="445">
        <v>344.92700000000002</v>
      </c>
      <c r="J6" s="93"/>
      <c r="K6" s="96"/>
      <c r="L6" s="96"/>
      <c r="M6" s="96"/>
      <c r="N6" s="96"/>
      <c r="O6" s="96"/>
      <c r="P6" s="98"/>
      <c r="Q6" s="97"/>
    </row>
    <row r="7" spans="2:17" ht="21" customHeight="1" thickBot="1">
      <c r="B7" s="87" t="s">
        <v>4</v>
      </c>
      <c r="C7" s="109">
        <v>328.65899999999999</v>
      </c>
      <c r="D7" s="109">
        <v>359.83800000000002</v>
      </c>
      <c r="E7" s="340">
        <v>407.572</v>
      </c>
      <c r="F7" s="465">
        <v>386.63600000000002</v>
      </c>
      <c r="G7" s="445">
        <v>344.61399999999998</v>
      </c>
      <c r="J7" s="93"/>
      <c r="K7" s="96"/>
      <c r="L7" s="96"/>
      <c r="M7" s="96"/>
      <c r="N7" s="96"/>
      <c r="O7" s="96"/>
      <c r="P7" s="96"/>
      <c r="Q7" s="97"/>
    </row>
    <row r="8" spans="2:17" ht="21" customHeight="1" thickBot="1">
      <c r="B8" s="87" t="s">
        <v>5</v>
      </c>
      <c r="C8" s="109">
        <v>359.21199999999999</v>
      </c>
      <c r="D8" s="109">
        <v>370.05099999999999</v>
      </c>
      <c r="E8" s="340">
        <v>305.72199999999998</v>
      </c>
      <c r="F8" s="465">
        <v>378.81599999999997</v>
      </c>
      <c r="G8" s="445">
        <v>369.43099999999998</v>
      </c>
      <c r="J8" s="93"/>
      <c r="K8" s="96"/>
      <c r="L8" s="96"/>
      <c r="M8" s="96"/>
      <c r="N8" s="96"/>
      <c r="O8" s="96"/>
      <c r="P8" s="96"/>
      <c r="Q8" s="97"/>
    </row>
    <row r="9" spans="2:17" ht="21" customHeight="1" thickBot="1">
      <c r="B9" s="87" t="s">
        <v>6</v>
      </c>
      <c r="C9" s="109">
        <v>354.11599999999999</v>
      </c>
      <c r="D9" s="319">
        <v>414.64100000000002</v>
      </c>
      <c r="E9" s="341">
        <v>384.55099999999999</v>
      </c>
      <c r="F9" s="465">
        <v>375.27</v>
      </c>
      <c r="G9" s="445">
        <v>356.18799999999999</v>
      </c>
      <c r="J9" s="93"/>
      <c r="K9" s="96"/>
      <c r="L9" s="96"/>
      <c r="M9" s="96"/>
      <c r="N9" s="96"/>
      <c r="O9" s="96"/>
      <c r="P9" s="96"/>
      <c r="Q9" s="99"/>
    </row>
    <row r="10" spans="2:17" ht="21" customHeight="1" thickBot="1">
      <c r="B10" s="87" t="s">
        <v>7</v>
      </c>
      <c r="C10" s="109">
        <v>326.608</v>
      </c>
      <c r="D10" s="109">
        <v>381.94400000000002</v>
      </c>
      <c r="E10" s="340">
        <v>344.40499999999997</v>
      </c>
      <c r="F10" s="465">
        <v>325.3</v>
      </c>
      <c r="G10" s="445">
        <v>346.28199999999998</v>
      </c>
      <c r="J10" s="93"/>
      <c r="K10" s="96"/>
      <c r="L10" s="96"/>
      <c r="M10" s="96"/>
      <c r="N10" s="96"/>
      <c r="O10" s="96"/>
      <c r="P10" s="96"/>
      <c r="Q10" s="99"/>
    </row>
    <row r="11" spans="2:17" ht="21" customHeight="1" thickBot="1">
      <c r="B11" s="87" t="s">
        <v>8</v>
      </c>
      <c r="C11" s="109">
        <v>288.46899999999999</v>
      </c>
      <c r="D11" s="109">
        <v>377.98200000000003</v>
      </c>
      <c r="E11" s="340">
        <v>319.52199999999999</v>
      </c>
      <c r="F11" s="465">
        <v>265.39100000000002</v>
      </c>
      <c r="G11" s="445">
        <v>302.36500000000001</v>
      </c>
      <c r="J11" s="93"/>
      <c r="K11" s="96"/>
      <c r="L11" s="96"/>
      <c r="M11" s="96"/>
      <c r="N11" s="96"/>
      <c r="O11" s="96"/>
      <c r="P11" s="96"/>
      <c r="Q11" s="99"/>
    </row>
    <row r="12" spans="2:17" ht="21" customHeight="1" thickBot="1">
      <c r="B12" s="87" t="s">
        <v>9</v>
      </c>
      <c r="C12" s="109">
        <v>280.52699999999999</v>
      </c>
      <c r="D12" s="109">
        <v>384.029</v>
      </c>
      <c r="E12" s="340">
        <v>316.072</v>
      </c>
      <c r="F12" s="465">
        <v>261.27999999999997</v>
      </c>
      <c r="G12" s="445">
        <v>298.26299999999998</v>
      </c>
      <c r="J12" s="93"/>
      <c r="K12" s="96"/>
      <c r="L12" s="96"/>
      <c r="M12" s="96"/>
      <c r="N12" s="96"/>
      <c r="O12" s="96"/>
      <c r="P12" s="96"/>
      <c r="Q12" s="99"/>
    </row>
    <row r="13" spans="2:17" ht="21" customHeight="1" thickBot="1">
      <c r="B13" s="87" t="s">
        <v>10</v>
      </c>
      <c r="C13" s="91">
        <v>281.649</v>
      </c>
      <c r="D13" s="320">
        <v>400.50299999999999</v>
      </c>
      <c r="E13" s="342">
        <v>316.63099999999997</v>
      </c>
      <c r="F13" s="465">
        <v>261.84100000000001</v>
      </c>
      <c r="G13" s="445">
        <v>296.399</v>
      </c>
      <c r="J13" s="93"/>
      <c r="K13" s="96"/>
      <c r="L13" s="96"/>
      <c r="M13" s="96"/>
      <c r="N13" s="96"/>
      <c r="O13" s="96"/>
      <c r="P13" s="96"/>
      <c r="Q13" s="99"/>
    </row>
    <row r="14" spans="2:17" ht="21" customHeight="1" thickBot="1">
      <c r="B14" s="87" t="s">
        <v>11</v>
      </c>
      <c r="C14" s="91">
        <v>267.91399999999999</v>
      </c>
      <c r="D14" s="91">
        <v>394.65800000000002</v>
      </c>
      <c r="E14" s="343">
        <v>276.416</v>
      </c>
      <c r="F14" s="465">
        <v>238.28200000000001</v>
      </c>
      <c r="G14" s="445">
        <v>273.68</v>
      </c>
      <c r="J14" s="93"/>
      <c r="K14" s="96"/>
      <c r="L14" s="96"/>
      <c r="M14" s="96"/>
      <c r="N14" s="96"/>
      <c r="O14" s="96"/>
      <c r="P14" s="96"/>
      <c r="Q14" s="97"/>
    </row>
    <row r="15" spans="2:17" ht="21" customHeight="1" thickBot="1">
      <c r="B15" s="87" t="s">
        <v>12</v>
      </c>
      <c r="C15" s="91">
        <v>239.15299999999999</v>
      </c>
      <c r="D15" s="91">
        <v>402.85899999999998</v>
      </c>
      <c r="E15" s="343">
        <v>275.29500000000002</v>
      </c>
      <c r="F15" s="465">
        <v>219.642</v>
      </c>
      <c r="G15" s="445">
        <v>245.39599999999999</v>
      </c>
      <c r="J15" s="93"/>
      <c r="K15" s="96"/>
      <c r="L15" s="96"/>
      <c r="M15" s="96"/>
      <c r="N15" s="96"/>
      <c r="O15" s="96"/>
      <c r="P15" s="96"/>
      <c r="Q15" s="99"/>
    </row>
    <row r="16" spans="2:17" ht="21" customHeight="1" thickBot="1">
      <c r="B16" s="88" t="s">
        <v>13</v>
      </c>
      <c r="C16" s="92">
        <v>217.899</v>
      </c>
      <c r="D16" s="92">
        <v>364.61599999999999</v>
      </c>
      <c r="E16" s="344">
        <v>305.72199999999998</v>
      </c>
      <c r="F16" s="466">
        <v>268.04500000000002</v>
      </c>
      <c r="G16" s="587">
        <f>+UTAMA!I48</f>
        <v>276.41660000000002</v>
      </c>
      <c r="J16" s="93"/>
      <c r="K16" s="100"/>
      <c r="L16" s="100"/>
      <c r="M16" s="100"/>
      <c r="N16" s="100"/>
      <c r="O16" s="100"/>
      <c r="P16" s="100"/>
      <c r="Q16" s="80"/>
    </row>
    <row r="17" spans="10:17">
      <c r="J17" s="81"/>
      <c r="K17" s="81"/>
      <c r="L17" s="81"/>
      <c r="M17" s="81"/>
      <c r="N17" s="81"/>
      <c r="O17" s="81"/>
      <c r="P17" s="81"/>
      <c r="Q17" s="81"/>
    </row>
    <row r="18" spans="10:17">
      <c r="J18" s="81"/>
      <c r="K18" s="81"/>
      <c r="L18" s="81"/>
      <c r="M18" s="81"/>
      <c r="N18" s="81"/>
      <c r="O18" s="81"/>
      <c r="P18" s="81"/>
      <c r="Q18" s="81"/>
    </row>
    <row r="19" spans="10:17">
      <c r="J19" s="81"/>
      <c r="K19" s="81"/>
      <c r="L19" s="81"/>
      <c r="M19" s="81"/>
      <c r="N19" s="81"/>
      <c r="O19" s="81"/>
      <c r="P19" s="81"/>
      <c r="Q19" s="81"/>
    </row>
    <row r="20" spans="10:17">
      <c r="J20" s="81"/>
      <c r="K20" s="81"/>
      <c r="L20" s="81"/>
      <c r="M20" s="81"/>
      <c r="N20" s="81"/>
      <c r="O20" s="81"/>
      <c r="P20" s="81"/>
      <c r="Q20" s="81"/>
    </row>
    <row r="21" spans="10:17">
      <c r="J21" s="81"/>
      <c r="K21" s="81"/>
      <c r="L21" s="81"/>
      <c r="M21" s="81"/>
      <c r="N21" s="81"/>
      <c r="O21" s="81"/>
      <c r="P21" s="81"/>
      <c r="Q21" s="81"/>
    </row>
    <row r="22" spans="10:17">
      <c r="J22" s="81"/>
      <c r="K22" s="81"/>
      <c r="L22" s="81"/>
      <c r="M22" s="81"/>
      <c r="N22" s="81"/>
      <c r="O22" s="81"/>
      <c r="P22" s="81"/>
      <c r="Q22" s="81"/>
    </row>
    <row r="23" spans="10:17">
      <c r="J23" s="81"/>
      <c r="K23" s="81"/>
      <c r="L23" s="81"/>
      <c r="M23" s="81"/>
      <c r="N23" s="81"/>
      <c r="O23" s="81"/>
      <c r="P23" s="81"/>
      <c r="Q23" s="81"/>
    </row>
    <row r="24" spans="10:17">
      <c r="J24" s="81"/>
      <c r="K24" s="81"/>
      <c r="L24" s="81"/>
      <c r="M24" s="81"/>
      <c r="N24" s="81"/>
      <c r="O24" s="81"/>
      <c r="P24" s="81"/>
      <c r="Q24" s="81"/>
    </row>
    <row r="25" spans="10:17">
      <c r="J25" s="81"/>
      <c r="K25" s="81"/>
      <c r="L25" s="81"/>
      <c r="M25" s="81"/>
      <c r="N25" s="81"/>
      <c r="O25" s="81"/>
      <c r="P25" s="81"/>
      <c r="Q25" s="81"/>
    </row>
    <row r="26" spans="10:17">
      <c r="J26" s="81"/>
      <c r="K26" s="81"/>
      <c r="L26" s="81"/>
      <c r="M26" s="81"/>
      <c r="N26" s="81"/>
      <c r="O26" s="81"/>
      <c r="P26" s="81"/>
      <c r="Q26" s="81"/>
    </row>
    <row r="27" spans="10:17">
      <c r="J27" s="81"/>
      <c r="K27" s="81"/>
      <c r="L27" s="81"/>
      <c r="M27" s="81"/>
      <c r="N27" s="81"/>
      <c r="O27" s="81"/>
      <c r="P27" s="81"/>
      <c r="Q27" s="81"/>
    </row>
    <row r="28" spans="10:17">
      <c r="J28" s="81"/>
      <c r="K28" s="81"/>
      <c r="L28" s="81"/>
      <c r="M28" s="81"/>
      <c r="N28" s="81"/>
      <c r="O28" s="81"/>
      <c r="P28" s="81"/>
      <c r="Q28" s="81"/>
    </row>
    <row r="29" spans="10:17">
      <c r="J29" s="81"/>
      <c r="K29" s="81"/>
      <c r="L29" s="81"/>
      <c r="M29" s="81"/>
      <c r="N29" s="81"/>
      <c r="O29" s="81"/>
      <c r="P29" s="81"/>
      <c r="Q29" s="81"/>
    </row>
    <row r="30" spans="10:17">
      <c r="J30" s="81"/>
      <c r="K30" s="81"/>
      <c r="L30" s="81"/>
      <c r="M30" s="81"/>
      <c r="N30" s="81"/>
      <c r="O30" s="81"/>
      <c r="P30" s="81"/>
      <c r="Q30" s="81"/>
    </row>
    <row r="31" spans="10:17">
      <c r="J31" s="81"/>
      <c r="K31" s="81"/>
      <c r="L31" s="81"/>
      <c r="M31" s="81"/>
      <c r="N31" s="81"/>
      <c r="O31" s="81"/>
      <c r="P31" s="81"/>
      <c r="Q31" s="81"/>
    </row>
    <row r="32" spans="10:17">
      <c r="J32" s="81"/>
      <c r="K32" s="81"/>
      <c r="L32" s="81"/>
      <c r="M32" s="81"/>
      <c r="N32" s="81"/>
      <c r="O32" s="81"/>
      <c r="P32" s="81"/>
      <c r="Q32" s="81"/>
    </row>
    <row r="33" spans="1:17">
      <c r="J33" s="81"/>
      <c r="K33" s="81"/>
      <c r="L33" s="81"/>
      <c r="M33" s="81"/>
      <c r="N33" s="81"/>
      <c r="O33" s="81"/>
      <c r="P33" s="81"/>
      <c r="Q33" s="81"/>
    </row>
    <row r="34" spans="1:17">
      <c r="J34" s="81"/>
      <c r="K34" s="81"/>
      <c r="L34" s="81"/>
      <c r="M34" s="81"/>
      <c r="N34" s="81"/>
      <c r="O34" s="81"/>
      <c r="P34" s="81"/>
      <c r="Q34" s="81"/>
    </row>
    <row r="35" spans="1:17">
      <c r="J35" s="81"/>
      <c r="K35" s="81"/>
      <c r="L35" s="81"/>
      <c r="M35" s="81"/>
      <c r="N35" s="81"/>
      <c r="O35" s="81"/>
      <c r="P35" s="81"/>
      <c r="Q35" s="81"/>
    </row>
    <row r="36" spans="1:17">
      <c r="J36" s="81"/>
      <c r="K36" s="81"/>
      <c r="L36" s="81"/>
      <c r="M36" s="81"/>
      <c r="N36" s="81"/>
      <c r="O36" s="81"/>
      <c r="P36" s="81"/>
      <c r="Q36" s="81"/>
    </row>
    <row r="37" spans="1:17">
      <c r="J37" s="81"/>
      <c r="K37" s="81"/>
      <c r="L37" s="81"/>
      <c r="M37" s="81"/>
      <c r="N37" s="81"/>
      <c r="O37" s="81"/>
      <c r="P37" s="81"/>
      <c r="Q37" s="81"/>
    </row>
    <row r="38" spans="1:17">
      <c r="A38" s="77"/>
      <c r="J38" s="81"/>
      <c r="K38" s="81"/>
      <c r="L38" s="81"/>
      <c r="M38" s="81"/>
      <c r="N38" s="81"/>
      <c r="O38" s="81"/>
      <c r="P38" s="81"/>
      <c r="Q38" s="81"/>
    </row>
    <row r="39" spans="1:17">
      <c r="J39" s="81"/>
      <c r="K39" s="81"/>
      <c r="L39" s="81"/>
      <c r="M39" s="81"/>
      <c r="N39" s="81"/>
      <c r="O39" s="81"/>
      <c r="P39" s="81"/>
      <c r="Q39" s="81"/>
    </row>
    <row r="40" spans="1:17">
      <c r="J40" s="81"/>
      <c r="K40" s="81"/>
      <c r="L40" s="81"/>
      <c r="M40" s="81"/>
      <c r="N40" s="81"/>
      <c r="O40" s="81"/>
      <c r="P40" s="81"/>
      <c r="Q40" s="81"/>
    </row>
    <row r="41" spans="1:17">
      <c r="J41" s="81"/>
      <c r="K41" s="81"/>
      <c r="L41" s="81"/>
      <c r="M41" s="81"/>
      <c r="N41" s="81"/>
      <c r="O41" s="81"/>
      <c r="P41" s="81"/>
      <c r="Q41" s="81"/>
    </row>
    <row r="42" spans="1:17">
      <c r="J42" s="81"/>
      <c r="K42" s="81"/>
      <c r="L42" s="81"/>
      <c r="M42" s="81"/>
      <c r="N42" s="81"/>
      <c r="O42" s="81"/>
      <c r="P42" s="81"/>
      <c r="Q42" s="81"/>
    </row>
    <row r="43" spans="1:17">
      <c r="J43" s="81"/>
      <c r="K43" s="81"/>
      <c r="L43" s="81"/>
      <c r="M43" s="81"/>
      <c r="N43" s="81"/>
      <c r="O43" s="81"/>
      <c r="P43" s="81"/>
      <c r="Q43" s="81"/>
    </row>
    <row r="44" spans="1:17">
      <c r="J44" s="81"/>
      <c r="K44" s="81"/>
      <c r="L44" s="81"/>
      <c r="M44" s="81"/>
      <c r="N44" s="81"/>
      <c r="O44" s="81"/>
      <c r="P44" s="81"/>
      <c r="Q44" s="81"/>
    </row>
    <row r="45" spans="1:17">
      <c r="J45" s="81"/>
      <c r="K45" s="81"/>
      <c r="L45" s="81"/>
      <c r="M45" s="81"/>
      <c r="N45" s="81"/>
      <c r="O45" s="81"/>
      <c r="P45" s="81"/>
      <c r="Q45" s="81"/>
    </row>
    <row r="46" spans="1:17">
      <c r="J46" s="81"/>
      <c r="K46" s="81"/>
      <c r="L46" s="81"/>
      <c r="M46" s="81"/>
      <c r="N46" s="81"/>
      <c r="O46" s="81"/>
      <c r="P46" s="81"/>
      <c r="Q46" s="81"/>
    </row>
    <row r="47" spans="1:17">
      <c r="B47" s="79"/>
      <c r="J47" s="81"/>
      <c r="K47" s="81"/>
      <c r="L47" s="81"/>
      <c r="M47" s="81"/>
      <c r="N47" s="81"/>
      <c r="O47" s="81"/>
      <c r="P47" s="81"/>
      <c r="Q47" s="81"/>
    </row>
    <row r="48" spans="1:17">
      <c r="B48" s="79" t="s">
        <v>14</v>
      </c>
      <c r="C48" s="79"/>
      <c r="J48" s="81"/>
      <c r="K48" s="81"/>
      <c r="L48" s="81"/>
      <c r="M48" s="81"/>
      <c r="N48" s="81"/>
      <c r="O48" s="81"/>
      <c r="P48" s="81"/>
      <c r="Q48" s="81"/>
    </row>
    <row r="49" spans="2:17">
      <c r="B49" s="79" t="s">
        <v>15</v>
      </c>
      <c r="J49" s="81"/>
      <c r="K49" s="81"/>
      <c r="L49" s="81"/>
      <c r="M49" s="81"/>
      <c r="N49" s="81"/>
      <c r="O49" s="81"/>
      <c r="P49" s="81"/>
      <c r="Q49" s="81"/>
    </row>
    <row r="50" spans="2:17">
      <c r="B50" s="79"/>
      <c r="J50" s="38"/>
      <c r="K50" s="81"/>
      <c r="L50" s="81"/>
      <c r="M50" s="81"/>
      <c r="N50" s="81"/>
      <c r="O50" s="81"/>
      <c r="P50" s="81"/>
      <c r="Q50" s="81"/>
    </row>
    <row r="51" spans="2:17">
      <c r="J51" s="81"/>
      <c r="K51" s="81"/>
      <c r="L51" s="81"/>
      <c r="M51" s="81"/>
      <c r="N51" s="81"/>
      <c r="O51" s="81"/>
      <c r="P51" s="81"/>
      <c r="Q51" s="81"/>
    </row>
  </sheetData>
  <phoneticPr fontId="47" type="noConversion"/>
  <pageMargins left="1.62" right="0.75" top="0.47" bottom="0.55000000000000004" header="0.5" footer="0.5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GRA JATENG</vt:lpstr>
      <vt:lpstr>GRARWNING</vt:lpstr>
      <vt:lpstr>GDIRMAN</vt:lpstr>
      <vt:lpstr>AREAL</vt:lpstr>
      <vt:lpstr>GRACABAN</vt:lpstr>
      <vt:lpstr>GRAHAYU</vt:lpstr>
      <vt:lpstr>GRASPOR</vt:lpstr>
      <vt:lpstr>GR GJMUNGKUR</vt:lpstr>
      <vt:lpstr>GRAWDLTG</vt:lpstr>
      <vt:lpstr>GRAOMBO</vt:lpstr>
      <vt:lpstr>UTAMA</vt:lpstr>
      <vt:lpstr>RINCI 1</vt:lpstr>
      <vt:lpstr>RINCI 2</vt:lpstr>
      <vt:lpstr>KDOMBO</vt:lpstr>
      <vt:lpstr>AREAL!Print_Area</vt:lpstr>
      <vt:lpstr>GDIRMAN!Print_Area</vt:lpstr>
      <vt:lpstr>'GR GJMUNGKUR'!Print_Area</vt:lpstr>
      <vt:lpstr>'GRA JATENG'!Print_Area</vt:lpstr>
      <vt:lpstr>GRACABAN!Print_Area</vt:lpstr>
      <vt:lpstr>GRAHAYU!Print_Area</vt:lpstr>
      <vt:lpstr>GRAOMBO!Print_Area</vt:lpstr>
      <vt:lpstr>GRASPOR!Print_Area</vt:lpstr>
      <vt:lpstr>GRAWDLTG!Print_Area</vt:lpstr>
      <vt:lpstr>'RINCI 1'!Print_Area</vt:lpstr>
      <vt:lpstr>'RINCI 2'!Print_Area</vt:lpstr>
      <vt:lpstr>UTAMA!Print_Area</vt:lpstr>
    </vt:vector>
  </TitlesOfParts>
  <Company>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2000</dc:creator>
  <cp:lastModifiedBy>userr</cp:lastModifiedBy>
  <cp:lastPrinted>2009-09-04T06:23:53Z</cp:lastPrinted>
  <dcterms:created xsi:type="dcterms:W3CDTF">2001-01-08T14:44:55Z</dcterms:created>
  <dcterms:modified xsi:type="dcterms:W3CDTF">2009-09-04T06:26:16Z</dcterms:modified>
</cp:coreProperties>
</file>