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45" windowWidth="10185" windowHeight="7590" activeTab="10"/>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6" i="11" l="1"/>
  <c r="L28" i="11"/>
  <c r="L29" i="11"/>
  <c r="L31" i="11"/>
  <c r="L32" i="11"/>
  <c r="L33" i="11"/>
  <c r="L35" i="11"/>
  <c r="L36" i="11"/>
  <c r="L37" i="11"/>
  <c r="L39" i="11"/>
  <c r="L40" i="11"/>
  <c r="L41" i="11"/>
  <c r="L42" i="11"/>
  <c r="L43" i="11"/>
  <c r="L46" i="11"/>
  <c r="L47" i="11"/>
  <c r="L48" i="11"/>
  <c r="L49" i="11"/>
  <c r="H327" i="1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R306" i="11" l="1"/>
  <c r="AR313" i="1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F56"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3" i="11"/>
  <c r="L52" i="11"/>
  <c r="M51" i="11"/>
  <c r="L51" i="11"/>
  <c r="L50" i="11"/>
  <c r="Z44" i="11"/>
  <c r="Y44" i="11"/>
  <c r="X44" i="11"/>
  <c r="W44" i="11"/>
  <c r="V44" i="11"/>
  <c r="U44" i="11"/>
  <c r="T44" i="11"/>
  <c r="S44" i="11"/>
  <c r="R44" i="11"/>
  <c r="Q44" i="11"/>
  <c r="P44" i="11"/>
  <c r="O44" i="11"/>
  <c r="Z42" i="11"/>
  <c r="Y42" i="11"/>
  <c r="X42" i="11"/>
  <c r="W42" i="11"/>
  <c r="V42" i="11"/>
  <c r="U42" i="11"/>
  <c r="T42" i="11"/>
  <c r="S42" i="11"/>
  <c r="R42" i="11"/>
  <c r="Q42" i="11"/>
  <c r="P42" i="11"/>
  <c r="O42" i="11"/>
  <c r="Z41" i="11"/>
  <c r="Y41" i="11"/>
  <c r="X41" i="11"/>
  <c r="W41" i="11"/>
  <c r="V41" i="11"/>
  <c r="U41" i="11"/>
  <c r="T41" i="11"/>
  <c r="S41" i="11"/>
  <c r="R41" i="11"/>
  <c r="Q41" i="11"/>
  <c r="P41" i="11"/>
  <c r="O41" i="11"/>
  <c r="Z40" i="11"/>
  <c r="Y40" i="11"/>
  <c r="X40" i="11"/>
  <c r="W40" i="11"/>
  <c r="V40" i="11"/>
  <c r="U40" i="11"/>
  <c r="T40" i="11"/>
  <c r="S40" i="11"/>
  <c r="R40" i="11"/>
  <c r="Q40" i="11"/>
  <c r="P40" i="11"/>
  <c r="O40" i="11"/>
  <c r="Z39" i="11"/>
  <c r="Y39" i="11"/>
  <c r="X39" i="11"/>
  <c r="W39" i="11"/>
  <c r="V39" i="11"/>
  <c r="U39" i="11"/>
  <c r="T39" i="11"/>
  <c r="S39" i="11"/>
  <c r="R39" i="11"/>
  <c r="Q39" i="11"/>
  <c r="P39" i="11"/>
  <c r="O39" i="11"/>
  <c r="M37"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R321" i="11" l="1"/>
  <c r="AR305" i="11"/>
  <c r="AR312" i="11"/>
  <c r="AR307" i="11"/>
  <c r="AR314" i="11"/>
  <c r="AR308" i="11"/>
  <c r="AR318" i="11"/>
  <c r="AR309" i="11"/>
  <c r="AR319" i="11"/>
  <c r="AR310" i="11"/>
  <c r="AR320"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P58" i="30" s="1" a="1"/>
  <c r="P58" i="30" s="1"/>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7" i="30" a="1"/>
  <c r="P57" i="30" s="1"/>
  <c r="P56" i="30" a="1"/>
  <c r="P56" i="30" s="1"/>
  <c r="AJ38" i="11"/>
  <c r="AJ40" i="11"/>
  <c r="AJ41" i="11"/>
  <c r="AP54" i="11" s="1"/>
  <c r="AJ39" i="11"/>
  <c r="AT62" i="11"/>
  <c r="P60" i="30" a="1"/>
  <c r="P60" i="30" s="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<sst xmlns="http://schemas.openxmlformats.org/spreadsheetml/2006/main" count="1870" uniqueCount="351">
  <si>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</si>
  <si>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</si>
  <si>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</si>
  <si>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</si>
  <si>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</si>
  <si>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</si>
  <si>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</si>
  <si>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</si>
  <si>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</si>
  <si>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</si>
  <si>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</si>
  <si>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</si>
  <si>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</si>
  <si>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</si>
  <si>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</si>
  <si>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</si>
  <si>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</si>
  <si>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</si>
  <si>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</si>
  <si>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</si>
  <si>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</si>
  <si>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</si>
  <si>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</si>
  <si>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</si>
  <si>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</si>
  <si>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</si>
  <si>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</si>
  <si>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</si>
  <si>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</si>
  <si>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</si>
  <si>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</si>
  <si>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</si>
  <si>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</si>
  <si>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</si>
  <si>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</si>
  <si>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</si>
  <si>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</si>
  <si>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</si>
  <si>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</si>
  <si>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</si>
  <si>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</si>
  <si>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</si>
  <si>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</si>
  <si>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</si>
  <si>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</si>
  <si>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</si>
  <si>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</si>
  <si>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</si>
  <si>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</si>
  <si>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</si>
  <si>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</si>
  <si>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</si>
  <si>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</si>
  <si>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</si>
  <si>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</si>
  <si>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</si>
  <si>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</si>
  <si>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</si>
  <si>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</si>
  <si>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</si>
  <si>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</si>
  <si>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</si>
  <si>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</si>
  <si>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</si>
  <si>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</si>
  <si>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</si>
  <si>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</si>
  <si>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</si>
  <si>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</si>
  <si>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</si>
  <si>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</si>
  <si>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</si>
  <si>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</si>
  <si>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</si>
  <si>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</si>
  <si>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</si>
  <si>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</si>
  <si>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</si>
  <si>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</si>
  <si>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</si>
  <si>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</si>
  <si>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</si>
  <si>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</si>
  <si>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</si>
  <si>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</si>
  <si>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</si>
  <si>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</si>
  <si>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</si>
  <si>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</si>
  <si>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</si>
  <si>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</si>
  <si>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</si>
  <si>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</si>
  <si>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</si>
  <si>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</si>
  <si>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</si>
  <si>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</si>
  <si>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</si>
  <si>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</si>
  <si>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</si>
  <si>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</si>
  <si>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</si>
  <si>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</si>
  <si>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</si>
  <si>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</si>
  <si>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</si>
  <si>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</si>
  <si>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</si>
  <si>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</si>
  <si>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</si>
  <si>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</si>
  <si>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</si>
  <si>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</si>
  <si>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</si>
  <si>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</si>
  <si>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</si>
  <si>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</si>
  <si>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</si>
  <si>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</si>
  <si>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</si>
  <si>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</si>
  <si>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</si>
  <si>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</si>
  <si>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</si>
  <si>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</si>
  <si>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</si>
  <si>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</si>
  <si>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</si>
  <si>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</si>
  <si>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</si>
  <si>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</si>
  <si>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</si>
  <si>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</si>
  <si>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</si>
  <si>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</si>
  <si>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</si>
  <si>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</si>
  <si>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</si>
  <si>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</si>
  <si>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</si>
  <si>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</si>
  <si>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</si>
  <si>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</si>
  <si>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</si>
  <si>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</si>
  <si>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</si>
  <si>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</si>
  <si>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</si>
  <si>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</si>
  <si>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</si>
  <si>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</si>
  <si>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</si>
  <si>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</si>
  <si>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</si>
  <si>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</si>
  <si>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</si>
  <si>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</si>
  <si>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</si>
  <si>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</si>
  <si>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</si>
  <si>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</si>
  <si>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</si>
  <si>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</si>
  <si>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</si>
  <si>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</si>
  <si>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</si>
  <si>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</si>
  <si>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</si>
  <si>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</si>
  <si>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</si>
  <si>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</si>
  <si>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</si>
  <si>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</si>
  <si>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</si>
  <si>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</si>
  <si>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</si>
  <si>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</si>
  <si>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</si>
  <si>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</si>
  <si>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</si>
  <si>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</si>
  <si>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</si>
  <si>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</si>
  <si>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</si>
  <si>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</si>
  <si>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</si>
  <si>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</si>
  <si>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</si>
  <si>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</si>
  <si>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</si>
  <si>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</si>
  <si>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</si>
  <si>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</si>
  <si>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</si>
  <si>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</si>
  <si>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</si>
  <si>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</si>
  <si>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</si>
  <si>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</si>
  <si>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</si>
  <si>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</si>
  <si>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</si>
  <si>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</si>
  <si>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</si>
  <si>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</si>
  <si>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</si>
  <si>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</si>
  <si>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</si>
  <si>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</si>
  <si>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</si>
  <si>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</si>
  <si>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</si>
  <si>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</si>
  <si>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</si>
  <si>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</si>
  <si>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</si>
  <si>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</si>
  <si>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</si>
  <si>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</si>
  <si>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</si>
  <si>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</si>
  <si>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</si>
  <si>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</si>
  <si>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</si>
  <si>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</si>
  <si>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</si>
  <si>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</si>
  <si>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</si>
  <si>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</si>
  <si>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</si>
  <si>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</si>
  <si>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</si>
  <si>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</si>
  <si>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</si>
  <si>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</si>
  <si>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</si>
  <si>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</si>
  <si>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</si>
  <si>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</si>
  <si>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</si>
  <si>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</si>
  <si>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</si>
  <si>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</si>
  <si>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</si>
  <si>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</si>
  <si>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</si>
  <si>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</si>
  <si>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</si>
  <si>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</si>
  <si>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</si>
  <si>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</si>
  <si>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</si>
  <si>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</si>
  <si>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</si>
  <si>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</si>
  <si>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</si>
  <si>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</si>
  <si>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</si>
  <si>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</si>
  <si>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</si>
  <si>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</si>
  <si>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</si>
  <si>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</si>
  <si>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</si>
  <si>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</si>
  <si>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</si>
  <si>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</si>
  <si>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</si>
  <si>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</si>
  <si>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</si>
  <si>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</si>
  <si>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</si>
  <si>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</si>
  <si>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</si>
  <si>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</si>
  <si>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</si>
  <si>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</si>
  <si>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</si>
  <si>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</si>
  <si>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</si>
  <si>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</si>
  <si>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</si>
  <si>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</si>
  <si>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</si>
  <si>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</si>
  <si>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</si>
  <si>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</si>
  <si>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</si>
  <si>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</si>
  <si>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</si>
  <si>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</si>
  <si>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</si>
  <si>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</si>
  <si>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</si>
  <si>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</si>
  <si>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</si>
  <si>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</si>
  <si>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</si>
  <si>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</si>
  <si>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</si>
  <si>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</si>
  <si>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</si>
  <si>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</si>
  <si>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</si>
  <si>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</si>
  <si>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</si>
  <si>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</si>
  <si>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</si>
  <si>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</si>
  <si>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</si>
  <si>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</si>
  <si>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</si>
  <si>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</si>
  <si>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</si>
  <si>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</si>
  <si>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</si>
  <si>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</si>
  <si>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</si>
  <si>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</si>
  <si>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</si>
  <si>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</si>
  <si>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</si>
  <si>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</si>
  <si>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</si>
  <si>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</si>
  <si>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</si>
  <si>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</si>
  <si>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</si>
  <si>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</si>
  <si>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</si>
  <si>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</si>
  <si>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</si>
  <si>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</si>
  <si>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</si>
  <si>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</si>
  <si>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</si>
  <si>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</si>
  <si>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</si>
  <si>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</si>
  <si>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</si>
  <si>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</si>
  <si>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</si>
  <si>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</si>
  <si>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</si>
  <si>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</si>
  <si>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MINGGU  :  I AGUSTUS 2025</t>
  </si>
  <si>
    <t>Bedegolan</t>
  </si>
  <si>
    <t>Ada Perbaikan Pintu Intake</t>
  </si>
  <si>
    <t xml:space="preserve">MINGGU KE III OKTOBER ( 14 OKTOBER S/D 20 OKTOBER 2025 ) dalam Juta m3 </t>
  </si>
  <si>
    <t>*) = KONDISI  SAMPAI DENGAN TANGGAL 20 OKTOBER 2025</t>
  </si>
  <si>
    <t>MINGGU KE III OKTOBER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</si>
</sst>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7">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43" fontId="71" fillId="30" borderId="0" xfId="28" applyFont="1" applyFill="1" applyBorder="1" applyAlignment="1">
      <alignment vertical="center"/>
    </xf>
    <xf numFmtId="43" fontId="71" fillId="30" borderId="0" xfId="28" applyFont="1" applyFill="1" applyBorder="1" applyAlignment="1">
      <alignment horizontal="center" vertical="center"/>
    </xf>
    <xf numFmtId="43" fontId="71" fillId="30" borderId="0" xfId="28" quotePrefix="1" applyFont="1" applyFill="1" applyBorder="1" applyAlignment="1">
      <alignment horizontal="center" vertical="center"/>
    </xf>
    <xf numFmtId="39" fontId="70" fillId="30" borderId="0" xfId="0" applyNumberFormat="1" applyFont="1" applyFill="1" applyAlignment="1">
      <alignment vertical="center" shrinkToFit="1"/>
    </xf>
    <xf numFmtId="169" fontId="71" fillId="30" borderId="0" xfId="0" applyNumberFormat="1" applyFont="1" applyFill="1" applyAlignment="1">
      <alignment horizontal="right" vertical="center"/>
    </xf>
    <xf numFmtId="169" fontId="70" fillId="30" borderId="0" xfId="0" applyNumberFormat="1" applyFont="1" applyFill="1" applyAlignment="1">
      <alignment horizontal="righ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164" fontId="47" fillId="30" borderId="12" xfId="0" applyNumberFormat="1" applyFont="1" applyFill="1" applyBorder="1" applyAlignment="1">
      <alignment horizontal="right" vertical="center" shrinkToFit="1"/>
    </xf>
    <xf numFmtId="180" fontId="45" fillId="0" borderId="0" xfId="0" applyNumberFormat="1" applyFont="1" applyAlignment="1">
      <alignment horizontal="center" vertical="center"/>
    </xf>
    <xf numFmtId="173" fontId="4" fillId="0" borderId="0" xfId="0" applyNumberFormat="1" applyFont="1"/>
    <xf numFmtId="164" fontId="47" fillId="0" borderId="0" xfId="28" applyNumberFormat="1" applyFont="1" applyFill="1" applyBorder="1" applyAlignment="1">
      <alignment horizontal="center" vertical="center"/>
    </xf>
    <xf numFmtId="43" fontId="48" fillId="30" borderId="0" xfId="0" applyNumberFormat="1" applyFont="1" applyFill="1" applyAlignment="1">
      <alignment horizontal="center" vertical="center"/>
    </xf>
    <xf numFmtId="0" fontId="4" fillId="0" borderId="97" xfId="0" applyFont="1" applyBorder="1" applyAlignment="1">
      <alignment horizontal="center" vertical="center"/>
    </xf>
    <xf numFmtId="0" fontId="4" fillId="0" borderId="40" xfId="0" applyFont="1" applyBorder="1" applyAlignment="1">
      <alignment horizontal="center" vertical="center"/>
    </xf>
    <xf numFmtId="0" fontId="4" fillId="0" borderId="0" xfId="0" quotePrefix="1" applyFont="1"/>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 fillId="0" borderId="97" xfId="40" applyFont="1" applyBorder="1" applyAlignment="1">
      <alignment horizontal="left"/>
    </xf>
    <xf numFmtId="0" fontId="5" fillId="0" borderId="0" xfId="40" applyFont="1" applyAlignment="1">
      <alignment horizontal="left"/>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1084.05</c:v>
                </c:pt>
                <c:pt idx="8">
                  <c:v>929.56</c:v>
                </c:pt>
                <c:pt idx="9">
                  <c:v>782.74</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125957248"/>
        <c:axId val="125959168"/>
      </c:lineChart>
      <c:catAx>
        <c:axId val="12595724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25959168"/>
        <c:crosses val="autoZero"/>
        <c:auto val="0"/>
        <c:lblAlgn val="ctr"/>
        <c:lblOffset val="100"/>
        <c:tickLblSkip val="1"/>
        <c:tickMarkSkip val="1"/>
        <c:noMultiLvlLbl val="0"/>
      </c:catAx>
      <c:valAx>
        <c:axId val="125959168"/>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125957248"/>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21.207999999999998</c:v>
                </c:pt>
                <c:pt idx="1">
                  <c:v>13.352</c:v>
                </c:pt>
                <c:pt idx="2">
                  <c:v>19.064</c:v>
                </c:pt>
                <c:pt idx="3">
                  <c:v>297.44299999999998</c:v>
                </c:pt>
                <c:pt idx="4">
                  <c:v>55.326999999999998</c:v>
                </c:pt>
                <c:pt idx="5">
                  <c:v>14.58</c:v>
                </c:pt>
                <c:pt idx="6">
                  <c:v>271.23</c:v>
                </c:pt>
                <c:pt idx="7">
                  <c:v>4.7305925999999996</c:v>
                </c:pt>
                <c:pt idx="8">
                  <c:v>10.382</c:v>
                </c:pt>
                <c:pt idx="9">
                  <c:v>13.439</c:v>
                </c:pt>
                <c:pt idx="10">
                  <c:v>7.2279999999999998</c:v>
                </c:pt>
                <c:pt idx="11">
                  <c:v>8.8000000000000007</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7.55</c:v>
                </c:pt>
                <c:pt idx="1">
                  <c:v>15.074999999999999</c:v>
                </c:pt>
                <c:pt idx="2">
                  <c:v>17.05</c:v>
                </c:pt>
                <c:pt idx="3">
                  <c:v>298.74299999999999</c:v>
                </c:pt>
                <c:pt idx="4">
                  <c:v>56.267000000000003</c:v>
                </c:pt>
                <c:pt idx="5">
                  <c:v>22.72</c:v>
                </c:pt>
                <c:pt idx="6">
                  <c:v>257.08</c:v>
                </c:pt>
                <c:pt idx="7">
                  <c:v>10.89153297</c:v>
                </c:pt>
                <c:pt idx="8">
                  <c:v>20.376000000000001</c:v>
                </c:pt>
                <c:pt idx="9">
                  <c:v>16.670000000000002</c:v>
                </c:pt>
                <c:pt idx="10">
                  <c:v>9.3569999999999993</c:v>
                </c:pt>
                <c:pt idx="11">
                  <c:v>12.08</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51459328"/>
        <c:axId val="151461248"/>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50.26</c:v>
                </c:pt>
                <c:pt idx="1">
                  <c:v>70.72</c:v>
                </c:pt>
                <c:pt idx="2">
                  <c:v>461.13</c:v>
                </c:pt>
                <c:pt idx="3">
                  <c:v>82.05</c:v>
                </c:pt>
                <c:pt idx="4">
                  <c:v>127.77</c:v>
                </c:pt>
                <c:pt idx="5">
                  <c:v>65.87</c:v>
                </c:pt>
                <c:pt idx="6">
                  <c:v>171.47</c:v>
                </c:pt>
                <c:pt idx="7">
                  <c:v>230.51</c:v>
                </c:pt>
                <c:pt idx="8">
                  <c:v>182.57</c:v>
                </c:pt>
                <c:pt idx="9">
                  <c:v>86.14</c:v>
                </c:pt>
                <c:pt idx="10">
                  <c:v>93.66</c:v>
                </c:pt>
                <c:pt idx="11">
                  <c:v>145.35</c:v>
                </c:pt>
              </c:numCache>
            </c:numRef>
          </c:cat>
          <c:val>
            <c:numRef>
              <c:f>'RINCI 1'!$F$9:$F$20</c:f>
              <c:numCache>
                <c:formatCode>_(* #,##0.00_);_(* \(#,##0.00\);_(* "-"??_);_(@_)</c:formatCode>
                <c:ptCount val="12"/>
                <c:pt idx="0">
                  <c:v>53.96</c:v>
                </c:pt>
                <c:pt idx="1">
                  <c:v>70.16</c:v>
                </c:pt>
                <c:pt idx="2">
                  <c:v>461.3</c:v>
                </c:pt>
                <c:pt idx="3">
                  <c:v>82</c:v>
                </c:pt>
                <c:pt idx="4">
                  <c:v>127.72</c:v>
                </c:pt>
                <c:pt idx="5">
                  <c:v>60.96</c:v>
                </c:pt>
                <c:pt idx="6">
                  <c:v>170.09</c:v>
                </c:pt>
                <c:pt idx="7">
                  <c:v>229.4</c:v>
                </c:pt>
                <c:pt idx="8">
                  <c:v>176.32</c:v>
                </c:pt>
                <c:pt idx="9">
                  <c:v>83.02</c:v>
                </c:pt>
                <c:pt idx="10">
                  <c:v>91.88</c:v>
                </c:pt>
                <c:pt idx="11">
                  <c:v>141.19999999999999</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50.26</c:v>
                </c:pt>
                <c:pt idx="1">
                  <c:v>70.72</c:v>
                </c:pt>
                <c:pt idx="2">
                  <c:v>461.13</c:v>
                </c:pt>
                <c:pt idx="3">
                  <c:v>82.05</c:v>
                </c:pt>
                <c:pt idx="4">
                  <c:v>127.77</c:v>
                </c:pt>
                <c:pt idx="5">
                  <c:v>65.87</c:v>
                </c:pt>
                <c:pt idx="6">
                  <c:v>171.47</c:v>
                </c:pt>
                <c:pt idx="7">
                  <c:v>230.51</c:v>
                </c:pt>
                <c:pt idx="8">
                  <c:v>182.57</c:v>
                </c:pt>
                <c:pt idx="9">
                  <c:v>86.14</c:v>
                </c:pt>
                <c:pt idx="10">
                  <c:v>93.66</c:v>
                </c:pt>
                <c:pt idx="11">
                  <c:v>145.35</c:v>
                </c:pt>
              </c:numCache>
            </c:numRef>
          </c:cat>
          <c:val>
            <c:numRef>
              <c:f>'RINCI 1'!$G$9:$G$20</c:f>
              <c:numCache>
                <c:formatCode>_(* #,##0.00_);_(* \(#,##0.00\);_(* "-"??_);_(@_)</c:formatCode>
                <c:ptCount val="12"/>
                <c:pt idx="0">
                  <c:v>50.26</c:v>
                </c:pt>
                <c:pt idx="1">
                  <c:v>70.72</c:v>
                </c:pt>
                <c:pt idx="2">
                  <c:v>461.13</c:v>
                </c:pt>
                <c:pt idx="3">
                  <c:v>82.05</c:v>
                </c:pt>
                <c:pt idx="4">
                  <c:v>127.77</c:v>
                </c:pt>
                <c:pt idx="5">
                  <c:v>65.87</c:v>
                </c:pt>
                <c:pt idx="6">
                  <c:v>171.47</c:v>
                </c:pt>
                <c:pt idx="7">
                  <c:v>230.51</c:v>
                </c:pt>
                <c:pt idx="8">
                  <c:v>182.57</c:v>
                </c:pt>
                <c:pt idx="9">
                  <c:v>86.14</c:v>
                </c:pt>
                <c:pt idx="10">
                  <c:v>93.66</c:v>
                </c:pt>
                <c:pt idx="11">
                  <c:v>145.35</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51463424"/>
        <c:axId val="151465344"/>
      </c:lineChart>
      <c:catAx>
        <c:axId val="15145932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1461248"/>
        <c:crossesAt val="10"/>
        <c:auto val="0"/>
        <c:lblAlgn val="ctr"/>
        <c:lblOffset val="100"/>
        <c:tickLblSkip val="1"/>
        <c:tickMarkSkip val="1"/>
        <c:noMultiLvlLbl val="0"/>
      </c:catAx>
      <c:valAx>
        <c:axId val="15146124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1459328"/>
        <c:crosses val="autoZero"/>
        <c:crossBetween val="between"/>
        <c:majorUnit val="50"/>
      </c:valAx>
      <c:catAx>
        <c:axId val="15146342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51465344"/>
        <c:crosses val="autoZero"/>
        <c:auto val="0"/>
        <c:lblAlgn val="ctr"/>
        <c:lblOffset val="100"/>
        <c:noMultiLvlLbl val="0"/>
      </c:catAx>
      <c:valAx>
        <c:axId val="15146534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146342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297.44299999999998</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17.05</c:v>
                </c:pt>
                <c:pt idx="1">
                  <c:v>298.74299999999999</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150313216"/>
        <c:axId val="150323584"/>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461.13</c:v>
                </c:pt>
                <c:pt idx="1">
                  <c:v>82.05</c:v>
                </c:pt>
              </c:numCache>
            </c:numRef>
          </c:cat>
          <c:val>
            <c:numRef>
              <c:f>'RINCI 1 (2)'!$F$9:$F$10</c:f>
              <c:numCache>
                <c:formatCode>_(* #,##0.00_);_(* \(#,##0.00\);_(* "-"??_);_(@_)</c:formatCode>
                <c:ptCount val="2"/>
                <c:pt idx="0">
                  <c:v>461.3</c:v>
                </c:pt>
                <c:pt idx="1">
                  <c:v>82</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461.13</c:v>
                </c:pt>
                <c:pt idx="1">
                  <c:v>82.05</c:v>
                </c:pt>
              </c:numCache>
            </c:numRef>
          </c:cat>
          <c:val>
            <c:numRef>
              <c:f>'RINCI 1 (2)'!$G$9:$G$10</c:f>
              <c:numCache>
                <c:formatCode>_(* #,##0.00_);_(* \(#,##0.00\);_(* "-"??_);_(@_)</c:formatCode>
                <c:ptCount val="2"/>
                <c:pt idx="0">
                  <c:v>461.13</c:v>
                </c:pt>
                <c:pt idx="1">
                  <c:v>82.05</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150325504"/>
        <c:axId val="150331776"/>
      </c:lineChart>
      <c:catAx>
        <c:axId val="15031321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0323584"/>
        <c:crossesAt val="10"/>
        <c:auto val="0"/>
        <c:lblAlgn val="ctr"/>
        <c:lblOffset val="100"/>
        <c:tickLblSkip val="1"/>
        <c:tickMarkSkip val="1"/>
        <c:noMultiLvlLbl val="0"/>
      </c:catAx>
      <c:valAx>
        <c:axId val="15032358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0313216"/>
        <c:crosses val="autoZero"/>
        <c:crossBetween val="between"/>
        <c:majorUnit val="50"/>
      </c:valAx>
      <c:catAx>
        <c:axId val="15032550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50331776"/>
        <c:crosses val="autoZero"/>
        <c:auto val="0"/>
        <c:lblAlgn val="ctr"/>
        <c:lblOffset val="100"/>
        <c:noMultiLvlLbl val="0"/>
      </c:catAx>
      <c:valAx>
        <c:axId val="15033177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032550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0.58699999999999997</c:v>
                </c:pt>
                <c:pt idx="1">
                  <c:v>0.16800000000000001</c:v>
                </c:pt>
                <c:pt idx="2">
                  <c:v>8.4000000000000005E-2</c:v>
                </c:pt>
                <c:pt idx="3">
                  <c:v>5.7000000000000002E-2</c:v>
                </c:pt>
                <c:pt idx="4">
                  <c:v>0.192</c:v>
                </c:pt>
                <c:pt idx="5">
                  <c:v>1.7999999999999999E-2</c:v>
                </c:pt>
                <c:pt idx="6">
                  <c:v>0.03</c:v>
                </c:pt>
                <c:pt idx="7">
                  <c:v>3.5880000000000001</c:v>
                </c:pt>
                <c:pt idx="8">
                  <c:v>0.96699999999999997</c:v>
                </c:pt>
                <c:pt idx="9">
                  <c:v>1.456</c:v>
                </c:pt>
                <c:pt idx="10">
                  <c:v>1.1399999999999999</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52609920"/>
        <c:axId val="15261145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1.0740000000000001</c:v>
                </c:pt>
                <c:pt idx="1">
                  <c:v>0.13200000000000001</c:v>
                </c:pt>
                <c:pt idx="2">
                  <c:v>0.155</c:v>
                </c:pt>
                <c:pt idx="3">
                  <c:v>0.13900000000000001</c:v>
                </c:pt>
                <c:pt idx="4">
                  <c:v>3.4000000000000002E-2</c:v>
                </c:pt>
                <c:pt idx="5">
                  <c:v>4.2999999999999997E-2</c:v>
                </c:pt>
                <c:pt idx="6">
                  <c:v>7.0000000000000007E-2</c:v>
                </c:pt>
                <c:pt idx="7">
                  <c:v>5.0129999999999999</c:v>
                </c:pt>
                <c:pt idx="8">
                  <c:v>2.194</c:v>
                </c:pt>
                <c:pt idx="9">
                  <c:v>1.6679999999999999</c:v>
                </c:pt>
                <c:pt idx="10">
                  <c:v>0.56999999999999995</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52621824"/>
        <c:axId val="152623360"/>
      </c:lineChart>
      <c:catAx>
        <c:axId val="15260992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52611456"/>
        <c:crosses val="autoZero"/>
        <c:auto val="1"/>
        <c:lblAlgn val="ctr"/>
        <c:lblOffset val="100"/>
        <c:tickMarkSkip val="1"/>
        <c:noMultiLvlLbl val="0"/>
      </c:catAx>
      <c:valAx>
        <c:axId val="15261145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2609920"/>
        <c:crosses val="autoZero"/>
        <c:crossBetween val="between"/>
        <c:majorUnit val="0.5"/>
      </c:valAx>
      <c:catAx>
        <c:axId val="152621824"/>
        <c:scaling>
          <c:orientation val="minMax"/>
        </c:scaling>
        <c:delete val="1"/>
        <c:axPos val="b"/>
        <c:numFmt formatCode="General" sourceLinked="1"/>
        <c:majorTickMark val="out"/>
        <c:minorTickMark val="none"/>
        <c:tickLblPos val="nextTo"/>
        <c:crossAx val="152623360"/>
        <c:crosses val="autoZero"/>
        <c:auto val="1"/>
        <c:lblAlgn val="ctr"/>
        <c:lblOffset val="100"/>
        <c:noMultiLvlLbl val="0"/>
      </c:catAx>
      <c:valAx>
        <c:axId val="152623360"/>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5262182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198.9</c:v>
                </c:pt>
                <c:pt idx="1">
                  <c:v>319.63</c:v>
                </c:pt>
                <c:pt idx="2">
                  <c:v>123.91</c:v>
                </c:pt>
                <c:pt idx="3">
                  <c:v>277.41000000000003</c:v>
                </c:pt>
                <c:pt idx="4">
                  <c:v>93.17</c:v>
                </c:pt>
                <c:pt idx="5">
                  <c:v>187.69</c:v>
                </c:pt>
                <c:pt idx="6">
                  <c:v>168.41</c:v>
                </c:pt>
                <c:pt idx="7">
                  <c:v>138.08000000000001</c:v>
                </c:pt>
                <c:pt idx="8">
                  <c:v>236.43</c:v>
                </c:pt>
                <c:pt idx="9">
                  <c:v>117.9</c:v>
                </c:pt>
                <c:pt idx="10">
                  <c:v>109.27</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200.45</c:v>
                </c:pt>
                <c:pt idx="1">
                  <c:v>319</c:v>
                </c:pt>
                <c:pt idx="2">
                  <c:v>124.64</c:v>
                </c:pt>
                <c:pt idx="3">
                  <c:v>279.08</c:v>
                </c:pt>
                <c:pt idx="4">
                  <c:v>91.98</c:v>
                </c:pt>
                <c:pt idx="5">
                  <c:v>188.58</c:v>
                </c:pt>
                <c:pt idx="6">
                  <c:v>170.08</c:v>
                </c:pt>
                <c:pt idx="7">
                  <c:v>139.74</c:v>
                </c:pt>
                <c:pt idx="8">
                  <c:v>238.5</c:v>
                </c:pt>
                <c:pt idx="9">
                  <c:v>118.03</c:v>
                </c:pt>
                <c:pt idx="10">
                  <c:v>108.16</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52744704"/>
        <c:axId val="152746240"/>
      </c:barChart>
      <c:catAx>
        <c:axId val="152744704"/>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52746240"/>
        <c:crossesAt val="0"/>
        <c:auto val="0"/>
        <c:lblAlgn val="ctr"/>
        <c:lblOffset val="100"/>
        <c:tickLblSkip val="1"/>
        <c:tickMarkSkip val="1"/>
        <c:noMultiLvlLbl val="0"/>
      </c:catAx>
      <c:valAx>
        <c:axId val="15274624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2744704"/>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52903680"/>
        <c:axId val="152905216"/>
      </c:lineChart>
      <c:catAx>
        <c:axId val="15290368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52905216"/>
        <c:crosses val="autoZero"/>
        <c:auto val="0"/>
        <c:lblAlgn val="ctr"/>
        <c:lblOffset val="100"/>
        <c:tickLblSkip val="1"/>
        <c:tickMarkSkip val="1"/>
        <c:noMultiLvlLbl val="0"/>
      </c:catAx>
      <c:valAx>
        <c:axId val="15290521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52903680"/>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52287872"/>
        <c:axId val="152293760"/>
      </c:lineChart>
      <c:catAx>
        <c:axId val="1522878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2293760"/>
        <c:crossesAt val="0"/>
        <c:auto val="0"/>
        <c:lblAlgn val="ctr"/>
        <c:lblOffset val="100"/>
        <c:tickLblSkip val="1"/>
        <c:tickMarkSkip val="1"/>
        <c:noMultiLvlLbl val="0"/>
      </c:catAx>
      <c:valAx>
        <c:axId val="152293760"/>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228787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57459200"/>
        <c:axId val="157460736"/>
      </c:lineChart>
      <c:catAx>
        <c:axId val="15745920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7460736"/>
        <c:crossesAt val="0"/>
        <c:auto val="0"/>
        <c:lblAlgn val="ctr"/>
        <c:lblOffset val="100"/>
        <c:tickMarkSkip val="1"/>
        <c:noMultiLvlLbl val="0"/>
      </c:catAx>
      <c:valAx>
        <c:axId val="157460736"/>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745920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52485888"/>
        <c:axId val="152487424"/>
      </c:lineChart>
      <c:catAx>
        <c:axId val="1524858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52487424"/>
        <c:crosses val="autoZero"/>
        <c:auto val="0"/>
        <c:lblAlgn val="ctr"/>
        <c:lblOffset val="100"/>
        <c:tickLblSkip val="1"/>
        <c:tickMarkSkip val="1"/>
        <c:noMultiLvlLbl val="0"/>
      </c:catAx>
      <c:valAx>
        <c:axId val="152487424"/>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52485888"/>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57706112"/>
        <c:axId val="157707648"/>
      </c:lineChart>
      <c:catAx>
        <c:axId val="15770611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57707648"/>
        <c:crosses val="autoZero"/>
        <c:auto val="0"/>
        <c:lblAlgn val="ctr"/>
        <c:lblOffset val="100"/>
        <c:tickLblSkip val="1"/>
        <c:tickMarkSkip val="1"/>
        <c:noMultiLvlLbl val="0"/>
      </c:catAx>
      <c:valAx>
        <c:axId val="157707648"/>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5770611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7.55</c:v>
                </c:pt>
                <c:pt idx="1">
                  <c:v>15.074999999999999</c:v>
                </c:pt>
                <c:pt idx="2">
                  <c:v>17.05</c:v>
                </c:pt>
                <c:pt idx="3">
                  <c:v>298.74299999999999</c:v>
                </c:pt>
                <c:pt idx="4">
                  <c:v>56.267000000000003</c:v>
                </c:pt>
                <c:pt idx="5">
                  <c:v>22.72</c:v>
                </c:pt>
                <c:pt idx="6">
                  <c:v>257.08</c:v>
                </c:pt>
                <c:pt idx="7">
                  <c:v>10.89153297</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57303936"/>
        <c:axId val="157305472"/>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7.55</c:v>
                </c:pt>
                <c:pt idx="1">
                  <c:v>15.074999999999999</c:v>
                </c:pt>
                <c:pt idx="2">
                  <c:v>17.05</c:v>
                </c:pt>
                <c:pt idx="3">
                  <c:v>298.74299999999999</c:v>
                </c:pt>
                <c:pt idx="4">
                  <c:v>56.267000000000003</c:v>
                </c:pt>
                <c:pt idx="5">
                  <c:v>22.72</c:v>
                </c:pt>
                <c:pt idx="6">
                  <c:v>257.08</c:v>
                </c:pt>
                <c:pt idx="7">
                  <c:v>10.89153297</c:v>
                </c:pt>
              </c:numCache>
            </c:numRef>
          </c:cat>
          <c:val>
            <c:numRef>
              <c:f>'RINCI 1'!$F$9:$F$16</c:f>
              <c:numCache>
                <c:formatCode>_(* #,##0.00_);_(* \(#,##0.00\);_(* "-"??_);_(@_)</c:formatCode>
                <c:ptCount val="8"/>
                <c:pt idx="0">
                  <c:v>53.96</c:v>
                </c:pt>
                <c:pt idx="1">
                  <c:v>70.16</c:v>
                </c:pt>
                <c:pt idx="2">
                  <c:v>461.3</c:v>
                </c:pt>
                <c:pt idx="3">
                  <c:v>82</c:v>
                </c:pt>
                <c:pt idx="4">
                  <c:v>127.72</c:v>
                </c:pt>
                <c:pt idx="5">
                  <c:v>60.96</c:v>
                </c:pt>
                <c:pt idx="6">
                  <c:v>170.09</c:v>
                </c:pt>
                <c:pt idx="7">
                  <c:v>229.4</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7.55</c:v>
                </c:pt>
                <c:pt idx="1">
                  <c:v>15.074999999999999</c:v>
                </c:pt>
                <c:pt idx="2">
                  <c:v>17.05</c:v>
                </c:pt>
                <c:pt idx="3">
                  <c:v>298.74299999999999</c:v>
                </c:pt>
                <c:pt idx="4">
                  <c:v>56.267000000000003</c:v>
                </c:pt>
                <c:pt idx="5">
                  <c:v>22.72</c:v>
                </c:pt>
                <c:pt idx="6">
                  <c:v>257.08</c:v>
                </c:pt>
                <c:pt idx="7">
                  <c:v>10.89153297</c:v>
                </c:pt>
              </c:numCache>
            </c:numRef>
          </c:cat>
          <c:val>
            <c:numRef>
              <c:f>'RINCI 1'!$G$9:$G$16</c:f>
              <c:numCache>
                <c:formatCode>_(* #,##0.00_);_(* \(#,##0.00\);_(* "-"??_);_(@_)</c:formatCode>
                <c:ptCount val="8"/>
                <c:pt idx="0">
                  <c:v>50.26</c:v>
                </c:pt>
                <c:pt idx="1">
                  <c:v>70.72</c:v>
                </c:pt>
                <c:pt idx="2">
                  <c:v>461.13</c:v>
                </c:pt>
                <c:pt idx="3">
                  <c:v>82.05</c:v>
                </c:pt>
                <c:pt idx="4">
                  <c:v>127.77</c:v>
                </c:pt>
                <c:pt idx="5">
                  <c:v>65.87</c:v>
                </c:pt>
                <c:pt idx="6">
                  <c:v>171.47</c:v>
                </c:pt>
                <c:pt idx="7">
                  <c:v>230.51</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57307648"/>
        <c:axId val="157309568"/>
      </c:lineChart>
      <c:catAx>
        <c:axId val="15730393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7305472"/>
        <c:crossesAt val="10"/>
        <c:auto val="0"/>
        <c:lblAlgn val="ctr"/>
        <c:lblOffset val="100"/>
        <c:tickLblSkip val="1"/>
        <c:tickMarkSkip val="1"/>
        <c:noMultiLvlLbl val="0"/>
      </c:catAx>
      <c:valAx>
        <c:axId val="157305472"/>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7303936"/>
        <c:crosses val="autoZero"/>
        <c:crossBetween val="between"/>
        <c:majorUnit val="100"/>
      </c:valAx>
      <c:catAx>
        <c:axId val="157307648"/>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57309568"/>
        <c:crosses val="autoZero"/>
        <c:auto val="0"/>
        <c:lblAlgn val="ctr"/>
        <c:lblOffset val="100"/>
        <c:noMultiLvlLbl val="0"/>
      </c:catAx>
      <c:valAx>
        <c:axId val="157309568"/>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7307648"/>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126586240"/>
        <c:axId val="126596224"/>
      </c:lineChart>
      <c:catAx>
        <c:axId val="126586240"/>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26596224"/>
        <c:crosses val="autoZero"/>
        <c:auto val="0"/>
        <c:lblAlgn val="ctr"/>
        <c:lblOffset val="100"/>
        <c:tickLblSkip val="1"/>
        <c:tickMarkSkip val="1"/>
        <c:noMultiLvlLbl val="0"/>
      </c:catAx>
      <c:valAx>
        <c:axId val="126596224"/>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2658624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157865472"/>
        <c:axId val="157867008"/>
      </c:lineChart>
      <c:catAx>
        <c:axId val="157865472"/>
        <c:scaling>
          <c:orientation val="minMax"/>
        </c:scaling>
        <c:delete val="0"/>
        <c:axPos val="b"/>
        <c:numFmt formatCode="General" sourceLinked="0"/>
        <c:majorTickMark val="none"/>
        <c:minorTickMark val="none"/>
        <c:tickLblPos val="nextTo"/>
        <c:txPr>
          <a:bodyPr/>
          <a:lstStyle/>
          <a:p>
            <a:pPr>
              <a:defRPr lang="en-GB"/>
            </a:pPr>
            <a:endParaRPr lang="en-US"/>
          </a:p>
        </c:txPr>
        <c:crossAx val="157867008"/>
        <c:crosses val="autoZero"/>
        <c:auto val="1"/>
        <c:lblAlgn val="ctr"/>
        <c:lblOffset val="100"/>
        <c:noMultiLvlLbl val="0"/>
      </c:catAx>
      <c:valAx>
        <c:axId val="157867008"/>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157865472"/>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126690816"/>
        <c:axId val="126692352"/>
      </c:lineChart>
      <c:catAx>
        <c:axId val="12669081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26692352"/>
        <c:crosses val="autoZero"/>
        <c:auto val="0"/>
        <c:lblAlgn val="ctr"/>
        <c:lblOffset val="100"/>
        <c:tickLblSkip val="1"/>
        <c:tickMarkSkip val="1"/>
        <c:noMultiLvlLbl val="0"/>
      </c:catAx>
      <c:valAx>
        <c:axId val="126692352"/>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26690816"/>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150609280"/>
        <c:axId val="150623360"/>
      </c:lineChart>
      <c:catAx>
        <c:axId val="1506092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0623360"/>
        <c:crossesAt val="0"/>
        <c:auto val="0"/>
        <c:lblAlgn val="ctr"/>
        <c:lblOffset val="100"/>
        <c:tickMarkSkip val="1"/>
        <c:noMultiLvlLbl val="0"/>
      </c:catAx>
      <c:valAx>
        <c:axId val="150623360"/>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060928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150380928"/>
        <c:axId val="150382464"/>
      </c:lineChart>
      <c:catAx>
        <c:axId val="15038092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50382464"/>
        <c:crosses val="autoZero"/>
        <c:auto val="0"/>
        <c:lblAlgn val="ctr"/>
        <c:lblOffset val="100"/>
        <c:tickLblSkip val="1"/>
        <c:tickMarkSkip val="1"/>
        <c:noMultiLvlLbl val="0"/>
      </c:catAx>
      <c:valAx>
        <c:axId val="150382464"/>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50380928"/>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151313792"/>
        <c:axId val="151315584"/>
      </c:lineChart>
      <c:catAx>
        <c:axId val="15131379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51315584"/>
        <c:crosses val="autoZero"/>
        <c:auto val="1"/>
        <c:lblAlgn val="ctr"/>
        <c:lblOffset val="100"/>
        <c:noMultiLvlLbl val="0"/>
      </c:catAx>
      <c:valAx>
        <c:axId val="15131558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5131379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150696320"/>
        <c:axId val="150698240"/>
      </c:barChart>
      <c:catAx>
        <c:axId val="150696320"/>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0698240"/>
        <c:crossesAt val="0"/>
        <c:auto val="0"/>
        <c:lblAlgn val="ctr"/>
        <c:lblOffset val="100"/>
        <c:tickLblSkip val="1"/>
        <c:tickMarkSkip val="1"/>
        <c:noMultiLvlLbl val="0"/>
      </c:catAx>
      <c:valAx>
        <c:axId val="150698240"/>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0696320"/>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1117.6469162900003</c:v>
                </c:pt>
                <c:pt idx="239">
                  <c:v>1106.7979162899999</c:v>
                </c:pt>
                <c:pt idx="240">
                  <c:v>1098.00309152</c:v>
                </c:pt>
                <c:pt idx="241">
                  <c:v>1095.6854058200001</c:v>
                </c:pt>
                <c:pt idx="242" formatCode="0.00">
                  <c:v>1092.4872501700002</c:v>
                </c:pt>
                <c:pt idx="243">
                  <c:v>1089.5730304199997</c:v>
                </c:pt>
                <c:pt idx="244">
                  <c:v>1084.0488003299995</c:v>
                </c:pt>
                <c:pt idx="245">
                  <c:v>1117.6469162900003</c:v>
                </c:pt>
                <c:pt idx="246">
                  <c:v>1106.7979162899999</c:v>
                </c:pt>
                <c:pt idx="247" formatCode="0.00">
                  <c:v>1098.00309152</c:v>
                </c:pt>
                <c:pt idx="251">
                  <c:v>1095.6854058200001</c:v>
                </c:pt>
                <c:pt idx="252">
                  <c:v>1092.4872501700002</c:v>
                </c:pt>
                <c:pt idx="253">
                  <c:v>1089.5730304199997</c:v>
                </c:pt>
                <c:pt idx="254">
                  <c:v>1084.0488003299995</c:v>
                </c:pt>
                <c:pt idx="255">
                  <c:v>1113.58</c:v>
                </c:pt>
                <c:pt idx="256">
                  <c:v>1130.95</c:v>
                </c:pt>
                <c:pt idx="257">
                  <c:v>1129.81</c:v>
                </c:pt>
                <c:pt idx="258">
                  <c:v>1129.81</c:v>
                </c:pt>
                <c:pt idx="259">
                  <c:v>1126.08</c:v>
                </c:pt>
                <c:pt idx="260">
                  <c:v>1122.75</c:v>
                </c:pt>
                <c:pt idx="261">
                  <c:v>1122.6500000000001</c:v>
                </c:pt>
                <c:pt idx="262">
                  <c:v>1117.6500000000001</c:v>
                </c:pt>
                <c:pt idx="263">
                  <c:v>1106.8</c:v>
                </c:pt>
                <c:pt idx="264">
                  <c:v>1098</c:v>
                </c:pt>
                <c:pt idx="265">
                  <c:v>1095.69</c:v>
                </c:pt>
                <c:pt idx="266">
                  <c:v>1092.49</c:v>
                </c:pt>
                <c:pt idx="267">
                  <c:v>1089.57</c:v>
                </c:pt>
                <c:pt idx="268">
                  <c:v>1084.05</c:v>
                </c:pt>
                <c:pt idx="269">
                  <c:v>1080.02</c:v>
                </c:pt>
                <c:pt idx="270">
                  <c:v>1057.49</c:v>
                </c:pt>
                <c:pt idx="271">
                  <c:v>1048.1600000000001</c:v>
                </c:pt>
                <c:pt idx="272">
                  <c:v>1056.1500000000001</c:v>
                </c:pt>
                <c:pt idx="275">
                  <c:v>1048.6600000000001</c:v>
                </c:pt>
                <c:pt idx="276">
                  <c:v>1024.25</c:v>
                </c:pt>
                <c:pt idx="277">
                  <c:v>1036.5999999999999</c:v>
                </c:pt>
                <c:pt idx="278">
                  <c:v>1028.24</c:v>
                </c:pt>
                <c:pt idx="279">
                  <c:v>1018.47</c:v>
                </c:pt>
                <c:pt idx="280">
                  <c:v>1011.56</c:v>
                </c:pt>
                <c:pt idx="281">
                  <c:v>1015.2</c:v>
                </c:pt>
                <c:pt idx="282">
                  <c:v>1004.52</c:v>
                </c:pt>
                <c:pt idx="283">
                  <c:v>995.83</c:v>
                </c:pt>
                <c:pt idx="284">
                  <c:v>993.77</c:v>
                </c:pt>
                <c:pt idx="285">
                  <c:v>966.05</c:v>
                </c:pt>
                <c:pt idx="286">
                  <c:v>985.35</c:v>
                </c:pt>
                <c:pt idx="287">
                  <c:v>1000.05</c:v>
                </c:pt>
                <c:pt idx="288">
                  <c:v>987</c:v>
                </c:pt>
                <c:pt idx="289">
                  <c:v>985.14</c:v>
                </c:pt>
                <c:pt idx="290">
                  <c:v>978.77</c:v>
                </c:pt>
                <c:pt idx="291">
                  <c:v>978.77</c:v>
                </c:pt>
                <c:pt idx="292">
                  <c:v>975.93</c:v>
                </c:pt>
                <c:pt idx="293">
                  <c:v>969.88</c:v>
                </c:pt>
                <c:pt idx="294">
                  <c:v>960.11</c:v>
                </c:pt>
                <c:pt idx="295">
                  <c:v>953.02</c:v>
                </c:pt>
                <c:pt idx="296">
                  <c:v>949.73</c:v>
                </c:pt>
                <c:pt idx="297">
                  <c:v>943.86</c:v>
                </c:pt>
                <c:pt idx="298">
                  <c:v>934.47</c:v>
                </c:pt>
                <c:pt idx="299">
                  <c:v>929.56</c:v>
                </c:pt>
                <c:pt idx="300">
                  <c:v>930.41</c:v>
                </c:pt>
                <c:pt idx="301">
                  <c:v>927.53</c:v>
                </c:pt>
                <c:pt idx="302">
                  <c:v>922.8</c:v>
                </c:pt>
                <c:pt idx="303">
                  <c:v>912.31</c:v>
                </c:pt>
                <c:pt idx="304">
                  <c:v>904.99</c:v>
                </c:pt>
                <c:pt idx="305">
                  <c:v>1006.99</c:v>
                </c:pt>
                <c:pt idx="306">
                  <c:v>886.38</c:v>
                </c:pt>
                <c:pt idx="307">
                  <c:v>874.88</c:v>
                </c:pt>
                <c:pt idx="308">
                  <c:v>861.68</c:v>
                </c:pt>
                <c:pt idx="309">
                  <c:v>851.28</c:v>
                </c:pt>
                <c:pt idx="310">
                  <c:v>838.12</c:v>
                </c:pt>
                <c:pt idx="311">
                  <c:v>830.36</c:v>
                </c:pt>
                <c:pt idx="312">
                  <c:v>821.15</c:v>
                </c:pt>
                <c:pt idx="313">
                  <c:v>812.41</c:v>
                </c:pt>
                <c:pt idx="314">
                  <c:v>803.77</c:v>
                </c:pt>
                <c:pt idx="315">
                  <c:v>796.62</c:v>
                </c:pt>
                <c:pt idx="316">
                  <c:v>789.09</c:v>
                </c:pt>
                <c:pt idx="317">
                  <c:v>785.08</c:v>
                </c:pt>
                <c:pt idx="318">
                  <c:v>783.03</c:v>
                </c:pt>
                <c:pt idx="319">
                  <c:v>782.74</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150728704"/>
        <c:axId val="150730240"/>
      </c:lineChart>
      <c:dateAx>
        <c:axId val="15072870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0730240"/>
        <c:crosses val="autoZero"/>
        <c:auto val="0"/>
        <c:lblOffset val="100"/>
        <c:baseTimeUnit val="days"/>
        <c:majorUnit val="1"/>
        <c:majorTimeUnit val="months"/>
        <c:minorUnit val="1"/>
        <c:minorTimeUnit val="months"/>
      </c:dateAx>
      <c:valAx>
        <c:axId val="15073024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072870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151633920"/>
        <c:axId val="151635840"/>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151633920"/>
        <c:axId val="151635840"/>
      </c:lineChart>
      <c:catAx>
        <c:axId val="1516339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1635840"/>
        <c:crosses val="autoZero"/>
        <c:auto val="0"/>
        <c:lblAlgn val="ctr"/>
        <c:lblOffset val="100"/>
        <c:tickLblSkip val="1"/>
        <c:tickMarkSkip val="1"/>
        <c:noMultiLvlLbl val="0"/>
      </c:catAx>
      <c:valAx>
        <c:axId val="151635840"/>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1633920"/>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a16="http://schemas.microsoft.com/office/drawing/2014/main" xmlns=""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a16="http://schemas.microsoft.com/office/drawing/2014/main" xmlns=""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a16="http://schemas.microsoft.com/office/drawing/2014/main" xmlns=""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a16="http://schemas.microsoft.com/office/drawing/2014/main" xmlns=""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a16="http://schemas.microsoft.com/office/drawing/2014/main" xmlns=""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a16="http://schemas.microsoft.com/office/drawing/2014/main" xmlns=""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a16="http://schemas.microsoft.com/office/drawing/2014/main" xmlns=""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a16="http://schemas.microsoft.com/office/drawing/2014/main" xmlns=""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a16="http://schemas.microsoft.com/office/drawing/2014/main" xmlns=""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a16="http://schemas.microsoft.com/office/drawing/2014/main" xmlns=""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a16="http://schemas.microsoft.com/office/drawing/2014/main" xmlns=""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a16="http://schemas.microsoft.com/office/drawing/2014/main" xmlns=""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a16="http://schemas.microsoft.com/office/drawing/2014/main" xmlns=""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a16="http://schemas.microsoft.com/office/drawing/2014/main" xmlns=""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a16="http://schemas.microsoft.com/office/drawing/2014/main" xmlns=""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a16="http://schemas.microsoft.com/office/drawing/2014/main" xmlns=""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a16="http://schemas.microsoft.com/office/drawing/2014/main" xmlns=""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a16="http://schemas.microsoft.com/office/drawing/2014/main" xmlns=""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a16="http://schemas.microsoft.com/office/drawing/2014/main" xmlns=""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a16="http://schemas.microsoft.com/office/drawing/2014/main" xmlns=""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a16="http://schemas.microsoft.com/office/drawing/2014/main" xmlns=""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a16="http://schemas.microsoft.com/office/drawing/2014/main" xmlns=""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95248</xdr:colOff>
      <xdr:row>22</xdr:row>
      <xdr:rowOff>24190</xdr:rowOff>
    </xdr:from>
    <xdr:to>
      <xdr:col>4</xdr:col>
      <xdr:colOff>1102178</xdr:colOff>
      <xdr:row>27</xdr:row>
      <xdr:rowOff>37797</xdr:rowOff>
    </xdr:to>
    <xdr:sp macro="" textlink="">
      <xdr:nvSpPr>
        <xdr:cNvPr id="5" name="Snip Diagonal Corner Rectangle 4">
          <a:extLst>
            <a:ext uri="{FF2B5EF4-FFF2-40B4-BE49-F238E27FC236}">
              <a16:creationId xmlns:a16="http://schemas.microsoft.com/office/drawing/2014/main" xmlns="" id="{00000000-0008-0000-0800-000005000000}"/>
            </a:ext>
          </a:extLst>
        </xdr:cNvPr>
        <xdr:cNvSpPr/>
      </xdr:nvSpPr>
      <xdr:spPr>
        <a:xfrm>
          <a:off x="367391"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a16="http://schemas.microsoft.com/office/drawing/2014/main" xmlns=""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a16="http://schemas.microsoft.com/office/drawing/2014/main" xmlns=""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a16="http://schemas.microsoft.com/office/drawing/2014/main" xmlns=""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a16="http://schemas.microsoft.com/office/drawing/2014/main" xmlns=""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a16="http://schemas.microsoft.com/office/drawing/2014/main" xmlns=""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a16="http://schemas.microsoft.com/office/drawing/2014/main" xmlns=""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a16="http://schemas.microsoft.com/office/drawing/2014/main" xmlns=""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a16="http://schemas.microsoft.com/office/drawing/2014/main" xmlns=""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a16="http://schemas.microsoft.com/office/drawing/2014/main" xmlns=""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a16="http://schemas.microsoft.com/office/drawing/2014/main" xmlns=""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a16="http://schemas.microsoft.com/office/drawing/2014/main" xmlns=""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7" zoomScale="90" zoomScaleNormal="90" workbookViewId="0">
      <selection activeCell="B39" sqref="B39:J39"/>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8"/>
      <c r="C12" s="529"/>
      <c r="D12" s="529"/>
      <c r="E12" s="529"/>
      <c r="F12" s="529"/>
      <c r="G12" s="529"/>
      <c r="H12" s="529"/>
      <c r="I12" s="529"/>
      <c r="J12" s="530"/>
    </row>
    <row r="13" spans="2:10" ht="14.25" customHeight="1" x14ac:dyDescent="0.4">
      <c r="B13" s="528"/>
      <c r="C13" s="529"/>
      <c r="D13" s="529"/>
      <c r="E13" s="529"/>
      <c r="F13" s="529"/>
      <c r="G13" s="529"/>
      <c r="H13" s="529"/>
      <c r="I13" s="529"/>
      <c r="J13" s="530"/>
    </row>
    <row r="14" spans="2:10" ht="15.75" customHeight="1" x14ac:dyDescent="0.4">
      <c r="B14" s="528"/>
      <c r="C14" s="529"/>
      <c r="D14" s="529"/>
      <c r="E14" s="529"/>
      <c r="F14" s="529"/>
      <c r="G14" s="529"/>
      <c r="H14" s="529"/>
      <c r="I14" s="529"/>
      <c r="J14" s="530"/>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900"/>
      <c r="C37" s="901"/>
      <c r="D37" s="901"/>
      <c r="E37" s="901"/>
      <c r="F37" s="901"/>
      <c r="G37" s="901"/>
      <c r="H37" s="901"/>
      <c r="I37" s="901"/>
      <c r="J37" s="902"/>
    </row>
    <row r="38" spans="2:10" x14ac:dyDescent="0.2">
      <c r="B38" s="239"/>
      <c r="J38" s="240"/>
    </row>
    <row r="39" spans="2:10" ht="20.25" x14ac:dyDescent="0.3">
      <c r="B39" s="900" t="s">
        <v>345</v>
      </c>
      <c r="C39" s="901"/>
      <c r="D39" s="901"/>
      <c r="E39" s="901"/>
      <c r="F39" s="901"/>
      <c r="G39" s="901"/>
      <c r="H39" s="901"/>
      <c r="I39" s="901"/>
      <c r="J39" s="902"/>
    </row>
    <row r="40" spans="2:10" x14ac:dyDescent="0.2">
      <c r="B40" s="239"/>
      <c r="J40" s="240"/>
    </row>
    <row r="41" spans="2:10" x14ac:dyDescent="0.2">
      <c r="B41" s="239"/>
      <c r="J41" s="240"/>
    </row>
    <row r="42" spans="2:10" ht="15" customHeight="1" x14ac:dyDescent="0.2">
      <c r="B42" s="239"/>
      <c r="J42" s="240"/>
    </row>
    <row r="43" spans="2:10" ht="26.25" customHeight="1" x14ac:dyDescent="0.4">
      <c r="B43" s="897" t="s">
        <v>289</v>
      </c>
      <c r="C43" s="898"/>
      <c r="D43" s="898"/>
      <c r="E43" s="898"/>
      <c r="F43" s="898"/>
      <c r="G43" s="898"/>
      <c r="H43" s="898"/>
      <c r="I43" s="898"/>
      <c r="J43" s="899"/>
    </row>
    <row r="44" spans="2:10" ht="26.25" x14ac:dyDescent="0.4">
      <c r="B44" s="897" t="s">
        <v>290</v>
      </c>
      <c r="C44" s="898"/>
      <c r="D44" s="898"/>
      <c r="E44" s="898"/>
      <c r="F44" s="898"/>
      <c r="G44" s="898"/>
      <c r="H44" s="898"/>
      <c r="I44" s="898"/>
      <c r="J44" s="899"/>
    </row>
    <row r="45" spans="2:10" ht="26.25" x14ac:dyDescent="0.4">
      <c r="B45" s="897" t="s">
        <v>178</v>
      </c>
      <c r="C45" s="898"/>
      <c r="D45" s="898"/>
      <c r="E45" s="898"/>
      <c r="F45" s="898"/>
      <c r="G45" s="898"/>
      <c r="H45" s="898"/>
      <c r="I45" s="898"/>
      <c r="J45" s="899"/>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zoomScale="90" zoomScaleNormal="90" workbookViewId="0">
      <selection activeCell="J11" sqref="J11"/>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7" t="s">
        <v>156</v>
      </c>
      <c r="C2" s="957"/>
      <c r="D2" s="957"/>
      <c r="E2" s="957"/>
      <c r="F2" s="957"/>
      <c r="G2" s="957"/>
      <c r="H2" s="957"/>
      <c r="I2" s="957"/>
      <c r="J2" s="957"/>
      <c r="K2" s="170"/>
    </row>
    <row r="3" spans="2:12" x14ac:dyDescent="0.2">
      <c r="B3" s="957" t="s">
        <v>251</v>
      </c>
      <c r="C3" s="957"/>
      <c r="D3" s="957"/>
      <c r="E3" s="957"/>
      <c r="F3" s="957"/>
      <c r="G3" s="957"/>
      <c r="H3" s="957"/>
      <c r="I3" s="957"/>
      <c r="J3" s="957"/>
      <c r="K3" s="170"/>
    </row>
    <row r="4" spans="2:12" x14ac:dyDescent="0.2">
      <c r="B4" s="958" t="str">
        <f>+UTAMA!B4</f>
        <v xml:space="preserve">MINGGU KE III OKTOBER ( 14 OKTOBER S/D 20 OKTOBER 2025 ) dalam Juta m3 </v>
      </c>
      <c r="C4" s="958"/>
      <c r="D4" s="958"/>
      <c r="E4" s="958"/>
      <c r="F4" s="958"/>
      <c r="G4" s="958"/>
      <c r="H4" s="958"/>
      <c r="I4" s="958"/>
      <c r="J4" s="958"/>
      <c r="K4" s="171"/>
    </row>
    <row r="5" spans="2:12" ht="13.5" thickBot="1" x14ac:dyDescent="0.25">
      <c r="B5" s="169"/>
      <c r="C5" s="169"/>
      <c r="D5" s="169"/>
      <c r="E5" s="169"/>
      <c r="F5" s="169"/>
      <c r="G5" s="169"/>
      <c r="H5" s="169"/>
      <c r="I5" s="169"/>
      <c r="J5" s="169"/>
      <c r="K5" s="169"/>
    </row>
    <row r="6" spans="2:12" ht="14.25" x14ac:dyDescent="0.2">
      <c r="B6" s="963" t="s">
        <v>18</v>
      </c>
      <c r="C6" s="961" t="s">
        <v>269</v>
      </c>
      <c r="D6" s="959" t="s">
        <v>92</v>
      </c>
      <c r="E6" s="802" t="s">
        <v>25</v>
      </c>
      <c r="F6" s="965" t="s">
        <v>93</v>
      </c>
      <c r="G6" s="966"/>
      <c r="H6" s="965" t="s">
        <v>157</v>
      </c>
      <c r="I6" s="966"/>
      <c r="J6" s="802" t="s">
        <v>69</v>
      </c>
      <c r="K6" s="803" t="s">
        <v>125</v>
      </c>
    </row>
    <row r="7" spans="2:12" x14ac:dyDescent="0.2">
      <c r="B7" s="964"/>
      <c r="C7" s="962"/>
      <c r="D7" s="960"/>
      <c r="E7" s="804" t="s">
        <v>151</v>
      </c>
      <c r="F7" s="805" t="s">
        <v>94</v>
      </c>
      <c r="G7" s="805" t="s">
        <v>22</v>
      </c>
      <c r="H7" s="805" t="s">
        <v>94</v>
      </c>
      <c r="I7" s="805" t="s">
        <v>22</v>
      </c>
      <c r="J7" s="806" t="s">
        <v>22</v>
      </c>
      <c r="K7" s="807" t="s">
        <v>126</v>
      </c>
    </row>
    <row r="8" spans="2:12" x14ac:dyDescent="0.2">
      <c r="B8" s="534">
        <v>1</v>
      </c>
      <c r="C8" s="535">
        <v>2</v>
      </c>
      <c r="D8" s="535">
        <v>3</v>
      </c>
      <c r="E8" s="535">
        <v>4</v>
      </c>
      <c r="F8" s="535">
        <v>5</v>
      </c>
      <c r="G8" s="535">
        <v>6</v>
      </c>
      <c r="H8" s="535">
        <v>7</v>
      </c>
      <c r="I8" s="535">
        <v>8</v>
      </c>
      <c r="J8" s="535">
        <v>9</v>
      </c>
      <c r="K8" s="174">
        <v>10</v>
      </c>
    </row>
    <row r="9" spans="2:12" ht="15" customHeight="1" x14ac:dyDescent="0.2">
      <c r="B9" s="534">
        <v>1</v>
      </c>
      <c r="C9" s="536" t="s">
        <v>31</v>
      </c>
      <c r="D9" s="537">
        <v>19972</v>
      </c>
      <c r="E9" s="538">
        <f>UTAMA!F14</f>
        <v>49.9</v>
      </c>
      <c r="F9" s="538">
        <f>+UTAMA!G14</f>
        <v>461.3</v>
      </c>
      <c r="G9" s="541">
        <f>+UTAMA!I14</f>
        <v>461.13</v>
      </c>
      <c r="H9" s="542">
        <f>+UTAMA!H14</f>
        <v>19.064</v>
      </c>
      <c r="I9" s="543">
        <f>+UTAMA!J14</f>
        <v>17.05</v>
      </c>
      <c r="J9" s="175">
        <f>IFERROR(+I9/H9*100%*100,0)</f>
        <v>89.435585396558963</v>
      </c>
      <c r="K9" s="176"/>
      <c r="L9" s="384"/>
    </row>
    <row r="10" spans="2:12" ht="15" customHeight="1" x14ac:dyDescent="0.2">
      <c r="B10" s="534">
        <f>+B9+1</f>
        <v>2</v>
      </c>
      <c r="C10" s="536" t="s">
        <v>34</v>
      </c>
      <c r="D10" s="537">
        <v>59544</v>
      </c>
      <c r="E10" s="538">
        <v>689.09</v>
      </c>
      <c r="F10" s="538">
        <f>+UTAMA!G17</f>
        <v>82</v>
      </c>
      <c r="G10" s="538">
        <f>+UTAMA!I17</f>
        <v>82.05</v>
      </c>
      <c r="H10" s="542">
        <f>+UTAMA!H17</f>
        <v>297.44299999999998</v>
      </c>
      <c r="I10" s="542">
        <f>UTAMA!J17</f>
        <v>298.74299999999999</v>
      </c>
      <c r="J10" s="175">
        <f>IFERROR(+I10/H10*100%*100,0)</f>
        <v>100.437058528861</v>
      </c>
      <c r="K10" s="177"/>
    </row>
    <row r="11" spans="2:12" ht="15" customHeight="1" thickBot="1" x14ac:dyDescent="0.25">
      <c r="B11" s="544"/>
      <c r="C11" s="545" t="s">
        <v>89</v>
      </c>
      <c r="D11" s="546">
        <f>SUM(D9:D10)</f>
        <v>79516</v>
      </c>
      <c r="E11" s="547">
        <f>SUM(E9:E10)</f>
        <v>738.99</v>
      </c>
      <c r="F11" s="547"/>
      <c r="G11" s="546"/>
      <c r="H11" s="548">
        <f>SUM(H9:H10)</f>
        <v>316.50700000000001</v>
      </c>
      <c r="I11" s="548">
        <f>SUM(I9:I10)</f>
        <v>315.79300000000001</v>
      </c>
      <c r="J11" s="549">
        <f>I11/H11*100</f>
        <v>99.7744125722338</v>
      </c>
      <c r="K11" s="408"/>
    </row>
    <row r="12" spans="2:12" ht="15" customHeight="1" thickBot="1" x14ac:dyDescent="0.25">
      <c r="B12" s="550"/>
      <c r="C12" s="551" t="s">
        <v>69</v>
      </c>
      <c r="D12" s="551"/>
      <c r="E12" s="552"/>
      <c r="F12" s="553"/>
      <c r="G12" s="554"/>
      <c r="H12" s="555" t="s">
        <v>95</v>
      </c>
      <c r="I12" s="556">
        <f>+I11/H11*100%</f>
        <v>0.99774412572233795</v>
      </c>
      <c r="J12" s="556"/>
      <c r="K12" s="409"/>
    </row>
    <row r="13" spans="2:12" x14ac:dyDescent="0.2">
      <c r="B13" s="557"/>
      <c r="C13" s="558" t="s">
        <v>90</v>
      </c>
      <c r="D13" s="558"/>
      <c r="E13" s="558"/>
      <c r="F13" s="557"/>
      <c r="G13" s="557"/>
      <c r="H13" s="557"/>
      <c r="I13" s="557"/>
      <c r="J13" s="557"/>
      <c r="K13" s="169"/>
    </row>
    <row r="14" spans="2:12" ht="15" customHeight="1" x14ac:dyDescent="0.2">
      <c r="B14" s="557"/>
      <c r="C14" s="557" t="s">
        <v>91</v>
      </c>
      <c r="D14" s="557"/>
      <c r="E14" s="557"/>
      <c r="F14" s="557"/>
      <c r="G14" s="557"/>
      <c r="H14" s="557"/>
      <c r="I14" s="557"/>
      <c r="J14" s="557" t="s">
        <v>96</v>
      </c>
      <c r="K14" s="169"/>
    </row>
    <row r="15" spans="2:12" ht="15" customHeight="1" x14ac:dyDescent="0.2">
      <c r="B15" s="557"/>
      <c r="C15" s="557" t="s">
        <v>97</v>
      </c>
      <c r="D15" s="559" t="s">
        <v>98</v>
      </c>
      <c r="E15" s="559"/>
      <c r="F15" s="557" t="s">
        <v>99</v>
      </c>
      <c r="G15" s="557"/>
      <c r="H15" s="557"/>
      <c r="I15" s="170" t="s">
        <v>177</v>
      </c>
      <c r="J15" s="560">
        <f>COUNTIF(J9:J10,"&gt;100")</f>
        <v>1</v>
      </c>
      <c r="K15" s="171"/>
    </row>
    <row r="16" spans="2:12" ht="15" customHeight="1" x14ac:dyDescent="0.2">
      <c r="B16" s="557"/>
      <c r="C16" s="557" t="s">
        <v>100</v>
      </c>
      <c r="D16" s="559" t="s">
        <v>98</v>
      </c>
      <c r="E16" s="559"/>
      <c r="F16" s="557" t="s">
        <v>101</v>
      </c>
      <c r="G16" s="557"/>
      <c r="H16" s="557"/>
      <c r="I16" s="170" t="s">
        <v>177</v>
      </c>
      <c r="J16" s="561">
        <f>COUNTIFS(J9:J10,"&gt;=85",J9:J10,"&lt;=100")</f>
        <v>1</v>
      </c>
      <c r="K16" s="171"/>
    </row>
    <row r="17" spans="2:11" ht="15" customHeight="1" x14ac:dyDescent="0.2">
      <c r="B17" s="557"/>
      <c r="C17" s="557" t="s">
        <v>102</v>
      </c>
      <c r="D17" s="559" t="s">
        <v>98</v>
      </c>
      <c r="E17" s="559"/>
      <c r="F17" s="557" t="s">
        <v>103</v>
      </c>
      <c r="G17" s="557"/>
      <c r="H17" s="557"/>
      <c r="I17" s="170" t="s">
        <v>177</v>
      </c>
      <c r="J17" s="562">
        <f>COUNTIFS(J9:J10,"&gt;0",J9:J10,"&lt;85")</f>
        <v>0</v>
      </c>
      <c r="K17" s="171"/>
    </row>
    <row r="18" spans="2:11" ht="15" customHeight="1" thickBot="1" x14ac:dyDescent="0.25">
      <c r="B18" s="557"/>
      <c r="C18" s="563">
        <v>0</v>
      </c>
      <c r="D18" s="559" t="s">
        <v>98</v>
      </c>
      <c r="E18" s="559"/>
      <c r="F18" s="557" t="s">
        <v>104</v>
      </c>
      <c r="G18" s="557"/>
      <c r="H18" s="557"/>
      <c r="I18" s="170" t="s">
        <v>177</v>
      </c>
      <c r="J18" s="564">
        <f>COUNTIF(J9:J10,"0")</f>
        <v>0</v>
      </c>
      <c r="K18" s="171"/>
    </row>
    <row r="19" spans="2:11" ht="15" customHeight="1" thickTop="1" x14ac:dyDescent="0.2">
      <c r="B19" s="557"/>
      <c r="C19" s="557"/>
      <c r="D19" s="557"/>
      <c r="E19" s="557"/>
      <c r="F19" s="557"/>
      <c r="G19" s="957" t="s">
        <v>89</v>
      </c>
      <c r="H19" s="957"/>
      <c r="I19" s="565" t="s">
        <v>98</v>
      </c>
      <c r="J19" s="566">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tabSelected="1" zoomScaleNormal="100" workbookViewId="0">
      <selection activeCell="A5" sqref="A5:J50"/>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7" t="s">
        <v>158</v>
      </c>
      <c r="C2" s="967"/>
      <c r="D2" s="967"/>
      <c r="E2" s="967"/>
      <c r="F2" s="967"/>
      <c r="G2" s="967"/>
      <c r="H2" s="967"/>
      <c r="I2" s="967"/>
      <c r="J2" s="967"/>
    </row>
    <row r="3" spans="2:15" ht="15.75" x14ac:dyDescent="0.2">
      <c r="B3" s="967" t="s">
        <v>251</v>
      </c>
      <c r="C3" s="967"/>
      <c r="D3" s="967"/>
      <c r="E3" s="967"/>
      <c r="F3" s="967"/>
      <c r="G3" s="967"/>
      <c r="H3" s="967"/>
      <c r="I3" s="967"/>
      <c r="J3" s="967"/>
    </row>
    <row r="4" spans="2:15" ht="15.75" x14ac:dyDescent="0.2">
      <c r="B4" s="967" t="str">
        <f>+UTAMA!B4</f>
        <v xml:space="preserve">MINGGU KE III OKTOBER ( 14 OKTOBER S/D 20 OKTOBER 2025 ) dalam Juta m3 </v>
      </c>
      <c r="C4" s="967"/>
      <c r="D4" s="967"/>
      <c r="E4" s="967"/>
      <c r="F4" s="967"/>
      <c r="G4" s="967"/>
      <c r="H4" s="967"/>
      <c r="I4" s="967"/>
      <c r="J4" s="967"/>
    </row>
    <row r="5" spans="2:15" ht="13.5" customHeight="1" thickBot="1" x14ac:dyDescent="0.25"/>
    <row r="6" spans="2:15" ht="21" customHeight="1" x14ac:dyDescent="0.2">
      <c r="B6" s="970" t="s">
        <v>18</v>
      </c>
      <c r="C6" s="968" t="s">
        <v>269</v>
      </c>
      <c r="D6" s="797" t="s">
        <v>105</v>
      </c>
      <c r="E6" s="797" t="s">
        <v>25</v>
      </c>
      <c r="F6" s="972" t="s">
        <v>106</v>
      </c>
      <c r="G6" s="973"/>
      <c r="H6" s="972" t="s">
        <v>159</v>
      </c>
      <c r="I6" s="973"/>
      <c r="J6" s="798" t="s">
        <v>69</v>
      </c>
    </row>
    <row r="7" spans="2:15" ht="18" customHeight="1" x14ac:dyDescent="0.2">
      <c r="B7" s="971"/>
      <c r="C7" s="969"/>
      <c r="D7" s="799" t="s">
        <v>107</v>
      </c>
      <c r="E7" s="799" t="s">
        <v>152</v>
      </c>
      <c r="F7" s="800" t="s">
        <v>94</v>
      </c>
      <c r="G7" s="800" t="s">
        <v>22</v>
      </c>
      <c r="H7" s="800" t="s">
        <v>94</v>
      </c>
      <c r="I7" s="800" t="s">
        <v>22</v>
      </c>
      <c r="J7" s="801" t="s">
        <v>22</v>
      </c>
    </row>
    <row r="8" spans="2:15" ht="15.75" x14ac:dyDescent="0.2">
      <c r="B8" s="567">
        <v>1</v>
      </c>
      <c r="C8" s="568">
        <v>2</v>
      </c>
      <c r="D8" s="568">
        <v>3</v>
      </c>
      <c r="E8" s="568">
        <v>4</v>
      </c>
      <c r="F8" s="568">
        <v>5</v>
      </c>
      <c r="G8" s="568">
        <v>6</v>
      </c>
      <c r="H8" s="568">
        <v>7</v>
      </c>
      <c r="I8" s="568">
        <v>8</v>
      </c>
      <c r="J8" s="569">
        <v>9</v>
      </c>
    </row>
    <row r="9" spans="2:15" ht="15.75" hidden="1" x14ac:dyDescent="0.2">
      <c r="B9" s="567">
        <v>1</v>
      </c>
      <c r="C9" s="570" t="s">
        <v>29</v>
      </c>
      <c r="D9" s="571">
        <v>28310</v>
      </c>
      <c r="E9" s="572">
        <f>UTAMA!F12</f>
        <v>7.77</v>
      </c>
      <c r="F9" s="573">
        <f>+UTAMA!G12</f>
        <v>339.5</v>
      </c>
      <c r="G9" s="574">
        <f>+UTAMA!I12</f>
        <v>339.55</v>
      </c>
      <c r="H9" s="575">
        <f>+UTAMA!H12</f>
        <v>7.77</v>
      </c>
      <c r="I9" s="575">
        <f>+UTAMA!J12</f>
        <v>7.81</v>
      </c>
      <c r="J9" s="576">
        <f t="shared" ref="J9:J41" si="0">IFERROR(+I9/H9*100%*100,0)</f>
        <v>100.51480051480051</v>
      </c>
    </row>
    <row r="10" spans="2:15" ht="15.75" hidden="1" x14ac:dyDescent="0.2">
      <c r="B10" s="567">
        <f>1+B9</f>
        <v>2</v>
      </c>
      <c r="C10" s="570" t="s">
        <v>32</v>
      </c>
      <c r="D10" s="571">
        <v>4959</v>
      </c>
      <c r="E10" s="572">
        <f>UTAMA!F15</f>
        <v>9.5030000000000001</v>
      </c>
      <c r="F10" s="573">
        <f>+UTAMA!G15</f>
        <v>198</v>
      </c>
      <c r="G10" s="574">
        <f>+UTAMA!I15</f>
        <v>207.01</v>
      </c>
      <c r="H10" s="575">
        <f>+UTAMA!H15</f>
        <v>2.1840000000000002</v>
      </c>
      <c r="I10" s="575">
        <f>UTAMA!J15</f>
        <v>2.5209999999999999</v>
      </c>
      <c r="J10" s="752">
        <f t="shared" si="0"/>
        <v>115.43040293040292</v>
      </c>
    </row>
    <row r="11" spans="2:15" ht="15.75" hidden="1" x14ac:dyDescent="0.2">
      <c r="B11" s="567">
        <f t="shared" ref="B11:B41" si="1">+B10+1</f>
        <v>3</v>
      </c>
      <c r="C11" s="570" t="s">
        <v>33</v>
      </c>
      <c r="D11" s="571">
        <v>6052</v>
      </c>
      <c r="E11" s="572">
        <f>UTAMA!F16</f>
        <v>5.1509999999999998</v>
      </c>
      <c r="F11" s="573">
        <f>+UTAMA!G16</f>
        <v>312.93</v>
      </c>
      <c r="G11" s="574">
        <f>+UTAMA!I16</f>
        <v>312.97000000000003</v>
      </c>
      <c r="H11" s="575">
        <f>+UTAMA!H16</f>
        <v>1.8009999999999999</v>
      </c>
      <c r="I11" s="575">
        <f>UTAMA!J16</f>
        <v>1.8049999999999999</v>
      </c>
      <c r="J11" s="576">
        <f t="shared" si="0"/>
        <v>100.22209883398112</v>
      </c>
    </row>
    <row r="12" spans="2:15" ht="15.75" hidden="1" x14ac:dyDescent="0.2">
      <c r="B12" s="567">
        <f t="shared" si="1"/>
        <v>4</v>
      </c>
      <c r="C12" s="570" t="s">
        <v>35</v>
      </c>
      <c r="D12" s="571">
        <v>923</v>
      </c>
      <c r="E12" s="572">
        <f>UTAMA!F20</f>
        <v>2.0920000000000001</v>
      </c>
      <c r="F12" s="573">
        <f>+UTAMA!G20</f>
        <v>116.42</v>
      </c>
      <c r="G12" s="577">
        <f>+UTAMA!I20</f>
        <v>118.17</v>
      </c>
      <c r="H12" s="575">
        <f>+UTAMA!H20</f>
        <v>0.33600000000000002</v>
      </c>
      <c r="I12" s="578">
        <f>UTAMA!J20</f>
        <v>0.89600000000000002</v>
      </c>
      <c r="J12" s="576">
        <f t="shared" si="0"/>
        <v>266.66666666666663</v>
      </c>
      <c r="O12" s="70">
        <v>22222222222222</v>
      </c>
    </row>
    <row r="13" spans="2:15" ht="15.75" hidden="1" x14ac:dyDescent="0.2">
      <c r="B13" s="567">
        <f t="shared" si="1"/>
        <v>5</v>
      </c>
      <c r="C13" s="570" t="s">
        <v>36</v>
      </c>
      <c r="D13" s="571">
        <v>251</v>
      </c>
      <c r="E13" s="572">
        <f>UTAMA!F21</f>
        <v>2.3530000000000002</v>
      </c>
      <c r="F13" s="573">
        <f>+UTAMA!G21</f>
        <v>116.97</v>
      </c>
      <c r="G13" s="577">
        <f>+UTAMA!I21</f>
        <v>118.82</v>
      </c>
      <c r="H13" s="575">
        <f>+UTAMA!H21</f>
        <v>0.42299999999999999</v>
      </c>
      <c r="I13" s="578">
        <f>UTAMA!J21</f>
        <v>0.95599999999999996</v>
      </c>
      <c r="J13" s="576">
        <f t="shared" si="0"/>
        <v>226.00472813238773</v>
      </c>
    </row>
    <row r="14" spans="2:15" ht="15.75" hidden="1" x14ac:dyDescent="0.2">
      <c r="B14" s="567">
        <f t="shared" si="1"/>
        <v>6</v>
      </c>
      <c r="C14" s="570" t="s">
        <v>37</v>
      </c>
      <c r="D14" s="571">
        <v>440</v>
      </c>
      <c r="E14" s="572">
        <f>UTAMA!F22</f>
        <v>4.5999999999999996</v>
      </c>
      <c r="F14" s="573">
        <f>+UTAMA!G22</f>
        <v>43.25</v>
      </c>
      <c r="G14" s="577">
        <f>+UTAMA!I22</f>
        <v>44.86</v>
      </c>
      <c r="H14" s="575">
        <f>+UTAMA!H22</f>
        <v>2.879</v>
      </c>
      <c r="I14" s="578">
        <f>UTAMA!J22</f>
        <v>3.2149999999999999</v>
      </c>
      <c r="J14" s="576">
        <f t="shared" si="0"/>
        <v>111.67071899965266</v>
      </c>
    </row>
    <row r="15" spans="2:15" ht="15.75" hidden="1" x14ac:dyDescent="0.2">
      <c r="B15" s="567">
        <f t="shared" si="1"/>
        <v>7</v>
      </c>
      <c r="C15" s="570" t="s">
        <v>39</v>
      </c>
      <c r="D15" s="571">
        <v>775</v>
      </c>
      <c r="E15" s="572">
        <f>UTAMA!F23</f>
        <v>2.4159999999999999</v>
      </c>
      <c r="F15" s="573">
        <f>+UTAMA!G23</f>
        <v>48.37</v>
      </c>
      <c r="G15" s="574">
        <f>+UTAMA!I23</f>
        <v>50.94</v>
      </c>
      <c r="H15" s="575">
        <f>+UTAMA!H23</f>
        <v>0.33</v>
      </c>
      <c r="I15" s="575">
        <f>UTAMA!J23</f>
        <v>1.19</v>
      </c>
      <c r="J15" s="576">
        <f t="shared" si="0"/>
        <v>360.60606060606057</v>
      </c>
    </row>
    <row r="16" spans="2:15" ht="15.75" hidden="1" x14ac:dyDescent="0.2">
      <c r="B16" s="567">
        <f t="shared" si="1"/>
        <v>8</v>
      </c>
      <c r="C16" s="570" t="s">
        <v>40</v>
      </c>
      <c r="D16" s="571">
        <v>750</v>
      </c>
      <c r="E16" s="572">
        <f>UTAMA!F24</f>
        <v>1.093</v>
      </c>
      <c r="F16" s="573">
        <f>+UTAMA!G24</f>
        <v>74.209999999999994</v>
      </c>
      <c r="G16" s="574">
        <f>+UTAMA!I24</f>
        <v>76.91</v>
      </c>
      <c r="H16" s="575">
        <f>+UTAMA!H24</f>
        <v>0.221</v>
      </c>
      <c r="I16" s="575">
        <f>UTAMA!J24</f>
        <v>0.56999999999999995</v>
      </c>
      <c r="J16" s="576">
        <f t="shared" si="0"/>
        <v>257.91855203619906</v>
      </c>
    </row>
    <row r="17" spans="2:13" ht="15.75" hidden="1" x14ac:dyDescent="0.2">
      <c r="B17" s="567">
        <f t="shared" si="1"/>
        <v>9</v>
      </c>
      <c r="C17" s="570" t="s">
        <v>41</v>
      </c>
      <c r="D17" s="571">
        <v>482</v>
      </c>
      <c r="E17" s="572">
        <v>0.42899999999999999</v>
      </c>
      <c r="F17" s="573">
        <f>+UTAMA!G25</f>
        <v>78.010000000000005</v>
      </c>
      <c r="G17" s="574">
        <f>+UTAMA!I25</f>
        <v>80.959999999999994</v>
      </c>
      <c r="H17" s="575">
        <f>+UTAMA!H25</f>
        <v>0.03</v>
      </c>
      <c r="I17" s="575">
        <f>UTAMA!J25</f>
        <v>0.23</v>
      </c>
      <c r="J17" s="752">
        <f t="shared" si="0"/>
        <v>766.66666666666674</v>
      </c>
    </row>
    <row r="18" spans="2:13" ht="15.75" hidden="1" x14ac:dyDescent="0.2">
      <c r="B18" s="567">
        <f t="shared" si="1"/>
        <v>10</v>
      </c>
      <c r="C18" s="570" t="s">
        <v>42</v>
      </c>
      <c r="D18" s="571">
        <v>366</v>
      </c>
      <c r="E18" s="572">
        <f>UTAMA!F26</f>
        <v>0.25</v>
      </c>
      <c r="F18" s="573">
        <f>+UTAMA!G26</f>
        <v>60.34</v>
      </c>
      <c r="G18" s="577">
        <f>+UTAMA!I26</f>
        <v>63.17</v>
      </c>
      <c r="H18" s="575">
        <f>+UTAMA!H26</f>
        <v>6.0999999999999999E-2</v>
      </c>
      <c r="I18" s="578">
        <f>UTAMA!J26</f>
        <v>0.224</v>
      </c>
      <c r="J18" s="752">
        <f t="shared" si="0"/>
        <v>367.21311475409834</v>
      </c>
    </row>
    <row r="19" spans="2:13" ht="15.75" hidden="1" x14ac:dyDescent="0.2">
      <c r="B19" s="567">
        <f>+B18+1</f>
        <v>11</v>
      </c>
      <c r="C19" s="570" t="s">
        <v>43</v>
      </c>
      <c r="D19" s="571">
        <v>260</v>
      </c>
      <c r="E19" s="572">
        <f>UTAMA!F27</f>
        <v>0.38500000000000001</v>
      </c>
      <c r="F19" s="573">
        <f>+UTAMA!G27</f>
        <v>44.46</v>
      </c>
      <c r="G19" s="577">
        <f>+UTAMA!I27</f>
        <v>46.69</v>
      </c>
      <c r="H19" s="575">
        <f>+UTAMA!H27</f>
        <v>7.5999999999999998E-2</v>
      </c>
      <c r="I19" s="578">
        <f>UTAMA!J27</f>
        <v>7.6999999999999999E-2</v>
      </c>
      <c r="J19" s="576">
        <f t="shared" si="0"/>
        <v>101.31578947368421</v>
      </c>
    </row>
    <row r="20" spans="2:13" ht="15.75" hidden="1" x14ac:dyDescent="0.2">
      <c r="B20" s="741">
        <f>+B19+1</f>
        <v>12</v>
      </c>
      <c r="C20" s="570" t="s">
        <v>330</v>
      </c>
      <c r="D20" s="746">
        <v>4680</v>
      </c>
      <c r="E20" s="747">
        <f>UTAMA!F37</f>
        <v>9.15</v>
      </c>
      <c r="F20" s="748">
        <f>UTAMA!G40</f>
        <v>319.63</v>
      </c>
      <c r="G20" s="749">
        <f>UTAMA!I40</f>
        <v>319</v>
      </c>
      <c r="H20" s="750">
        <f>UTAMA!H40</f>
        <v>0.16800000000000001</v>
      </c>
      <c r="I20" s="575">
        <f>UTAMA!J40</f>
        <v>0.13200000000000001</v>
      </c>
      <c r="J20" s="752">
        <f t="shared" si="0"/>
        <v>78.571428571428569</v>
      </c>
    </row>
    <row r="21" spans="2:13" ht="15.75" hidden="1" x14ac:dyDescent="0.2">
      <c r="B21" s="567">
        <f>+B20+1</f>
        <v>13</v>
      </c>
      <c r="C21" s="570" t="s">
        <v>45</v>
      </c>
      <c r="D21" s="571">
        <v>340</v>
      </c>
      <c r="E21" s="624">
        <f>UTAMA!F30</f>
        <v>2.3410000000000002</v>
      </c>
      <c r="F21" s="573">
        <f>+UTAMA!G30</f>
        <v>106.04</v>
      </c>
      <c r="G21" s="577">
        <f>+UTAMA!I30</f>
        <v>103</v>
      </c>
      <c r="H21" s="575">
        <f>+UTAMA!H30</f>
        <v>0.13400000000000001</v>
      </c>
      <c r="I21" s="578">
        <f>+UTAMA!J30</f>
        <v>0</v>
      </c>
      <c r="J21" s="576">
        <f t="shared" si="0"/>
        <v>0</v>
      </c>
      <c r="M21" s="726"/>
    </row>
    <row r="22" spans="2:13" ht="15.75" hidden="1" x14ac:dyDescent="0.2">
      <c r="B22" s="567">
        <f>+B21+1</f>
        <v>14</v>
      </c>
      <c r="C22" s="570" t="s">
        <v>46</v>
      </c>
      <c r="D22" s="571">
        <v>392</v>
      </c>
      <c r="E22" s="624">
        <f>UTAMA!F31</f>
        <v>0.32300000000000001</v>
      </c>
      <c r="F22" s="573">
        <f>+UTAMA!G31</f>
        <v>200.81</v>
      </c>
      <c r="G22" s="577">
        <f>+UTAMA!I31</f>
        <v>200.52</v>
      </c>
      <c r="H22" s="575">
        <f>+UTAMA!H31</f>
        <v>6.3E-2</v>
      </c>
      <c r="I22" s="578">
        <f>+UTAMA!J31</f>
        <v>0.05</v>
      </c>
      <c r="J22" s="576">
        <f t="shared" si="0"/>
        <v>79.365079365079367</v>
      </c>
    </row>
    <row r="23" spans="2:13" ht="15.75" hidden="1" x14ac:dyDescent="0.2">
      <c r="B23" s="567">
        <f t="shared" si="1"/>
        <v>15</v>
      </c>
      <c r="C23" s="570" t="s">
        <v>47</v>
      </c>
      <c r="D23" s="571">
        <v>394</v>
      </c>
      <c r="E23" s="624">
        <f>UTAMA!F32</f>
        <v>0.42899999999999999</v>
      </c>
      <c r="F23" s="573">
        <f>+UTAMA!G32</f>
        <v>218.01</v>
      </c>
      <c r="G23" s="577">
        <f>+UTAMA!I32</f>
        <v>221.92</v>
      </c>
      <c r="H23" s="575">
        <f>+UTAMA!H32</f>
        <v>6.5000000000000002E-2</v>
      </c>
      <c r="I23" s="578">
        <f>+UTAMA!J32</f>
        <v>0.26700000000000002</v>
      </c>
      <c r="J23" s="576">
        <f t="shared" si="0"/>
        <v>410.76923076923083</v>
      </c>
    </row>
    <row r="24" spans="2:13" ht="15.75" hidden="1" x14ac:dyDescent="0.2">
      <c r="B24" s="567">
        <f t="shared" si="1"/>
        <v>16</v>
      </c>
      <c r="C24" s="570" t="s">
        <v>48</v>
      </c>
      <c r="D24" s="571">
        <v>707</v>
      </c>
      <c r="E24" s="624">
        <f>UTAMA!F33</f>
        <v>0.77100000000000002</v>
      </c>
      <c r="F24" s="573">
        <f>+UTAMA!G33</f>
        <v>190.7</v>
      </c>
      <c r="G24" s="577">
        <f>+UTAMA!I33</f>
        <v>191.45</v>
      </c>
      <c r="H24" s="575">
        <f>+UTAMA!H33</f>
        <v>6.4000000000000001E-2</v>
      </c>
      <c r="I24" s="578">
        <f>+UTAMA!J33</f>
        <v>0.11600000000000001</v>
      </c>
      <c r="J24" s="576">
        <f t="shared" si="0"/>
        <v>181.25</v>
      </c>
    </row>
    <row r="25" spans="2:13" ht="15.75" hidden="1" x14ac:dyDescent="0.2">
      <c r="B25" s="567">
        <f>+B24+1</f>
        <v>17</v>
      </c>
      <c r="C25" s="570" t="s">
        <v>49</v>
      </c>
      <c r="D25" s="571">
        <v>92</v>
      </c>
      <c r="E25" s="624">
        <f>UTAMA!F34</f>
        <v>0.32500000000000001</v>
      </c>
      <c r="F25" s="573">
        <f>+UTAMA!G34</f>
        <v>162.18</v>
      </c>
      <c r="G25" s="577">
        <f>+UTAMA!I34</f>
        <v>163.94</v>
      </c>
      <c r="H25" s="575">
        <f>+UTAMA!H34</f>
        <v>0.02</v>
      </c>
      <c r="I25" s="578">
        <f>+UTAMA!J34</f>
        <v>0.127</v>
      </c>
      <c r="J25" s="576">
        <f t="shared" si="0"/>
        <v>635</v>
      </c>
    </row>
    <row r="26" spans="2:13" ht="15.75" hidden="1" x14ac:dyDescent="0.2">
      <c r="B26" s="567">
        <f t="shared" si="1"/>
        <v>18</v>
      </c>
      <c r="C26" s="570" t="s">
        <v>50</v>
      </c>
      <c r="D26" s="571">
        <v>319</v>
      </c>
      <c r="E26" s="624">
        <f>UTAMA!F35</f>
        <v>0.71399999999999997</v>
      </c>
      <c r="F26" s="573">
        <f>+UTAMA!G35</f>
        <v>220.3</v>
      </c>
      <c r="G26" s="577">
        <f>+UTAMA!I35</f>
        <v>221.82</v>
      </c>
      <c r="H26" s="575">
        <f>+UTAMA!H35</f>
        <v>7.8E-2</v>
      </c>
      <c r="I26" s="578">
        <f>+UTAMA!J35</f>
        <v>0.15</v>
      </c>
      <c r="J26" s="576">
        <f t="shared" si="0"/>
        <v>192.30769230769229</v>
      </c>
    </row>
    <row r="27" spans="2:13" ht="15.75" hidden="1" x14ac:dyDescent="0.2">
      <c r="B27" s="567">
        <f t="shared" si="1"/>
        <v>19</v>
      </c>
      <c r="C27" s="570" t="s">
        <v>51</v>
      </c>
      <c r="D27" s="571">
        <v>635</v>
      </c>
      <c r="E27" s="624">
        <f>UTAMA!F36</f>
        <v>1.708</v>
      </c>
      <c r="F27" s="573">
        <f>+UTAMA!G36</f>
        <v>239.7</v>
      </c>
      <c r="G27" s="577">
        <f>+UTAMA!I36</f>
        <v>240.81</v>
      </c>
      <c r="H27" s="575">
        <f>+UTAMA!H36</f>
        <v>2.5999999999999999E-2</v>
      </c>
      <c r="I27" s="578">
        <f>+UTAMA!J36</f>
        <v>9.2999999999999999E-2</v>
      </c>
      <c r="J27" s="576">
        <f t="shared" si="0"/>
        <v>357.69230769230774</v>
      </c>
    </row>
    <row r="28" spans="2:13" ht="15.75" hidden="1" x14ac:dyDescent="0.2">
      <c r="B28" s="567">
        <f t="shared" si="1"/>
        <v>20</v>
      </c>
      <c r="C28" s="570" t="s">
        <v>52</v>
      </c>
      <c r="D28" s="571">
        <v>2000</v>
      </c>
      <c r="E28" s="624">
        <f>UTAMA!F38</f>
        <v>4.3979999999999997</v>
      </c>
      <c r="F28" s="573">
        <f>+UTAMA!G38</f>
        <v>148.21</v>
      </c>
      <c r="G28" s="574">
        <f>+UTAMA!I38</f>
        <v>148.76</v>
      </c>
      <c r="H28" s="575">
        <f>+UTAMA!H38</f>
        <v>2.1749999999999998</v>
      </c>
      <c r="I28" s="575">
        <f>+UTAMA!J38</f>
        <v>2.4950000000000001</v>
      </c>
      <c r="J28" s="576">
        <f t="shared" si="0"/>
        <v>114.71264367816094</v>
      </c>
    </row>
    <row r="29" spans="2:13" ht="15.75" x14ac:dyDescent="0.2">
      <c r="B29" s="567">
        <f t="shared" si="1"/>
        <v>21</v>
      </c>
      <c r="C29" s="570" t="s">
        <v>53</v>
      </c>
      <c r="D29" s="571">
        <v>1126</v>
      </c>
      <c r="E29" s="624">
        <f>UTAMA!F39</f>
        <v>3.3109999999999999</v>
      </c>
      <c r="F29" s="573">
        <f>+UTAMA!G39</f>
        <v>198.9</v>
      </c>
      <c r="G29" s="574">
        <f>+UTAMA!I39</f>
        <v>200.45</v>
      </c>
      <c r="H29" s="575">
        <f>+UTAMA!H39</f>
        <v>0.58699999999999997</v>
      </c>
      <c r="I29" s="575">
        <f>+UTAMA!J39</f>
        <v>1.0740000000000001</v>
      </c>
      <c r="J29" s="576">
        <f t="shared" si="0"/>
        <v>182.96422487223171</v>
      </c>
    </row>
    <row r="30" spans="2:13" ht="15.75" x14ac:dyDescent="0.2">
      <c r="B30" s="567">
        <f t="shared" si="1"/>
        <v>22</v>
      </c>
      <c r="C30" s="570" t="s">
        <v>54</v>
      </c>
      <c r="D30" s="571">
        <v>1531</v>
      </c>
      <c r="E30" s="624">
        <f>UTAMA!F40</f>
        <v>0.64700000000000002</v>
      </c>
      <c r="F30" s="573">
        <f>+UTAMA!G40</f>
        <v>319.63</v>
      </c>
      <c r="G30" s="577">
        <f>+UTAMA!I40</f>
        <v>319</v>
      </c>
      <c r="H30" s="575">
        <f>+UTAMA!H40</f>
        <v>0.16800000000000001</v>
      </c>
      <c r="I30" s="578">
        <f>+UTAMA!J40</f>
        <v>0.13200000000000001</v>
      </c>
      <c r="J30" s="576">
        <f t="shared" si="0"/>
        <v>78.571428571428569</v>
      </c>
    </row>
    <row r="31" spans="2:13" ht="15.75" x14ac:dyDescent="0.2">
      <c r="B31" s="567">
        <f t="shared" si="1"/>
        <v>23</v>
      </c>
      <c r="C31" s="570" t="s">
        <v>55</v>
      </c>
      <c r="D31" s="571">
        <v>358</v>
      </c>
      <c r="E31" s="624">
        <f>UTAMA!F41</f>
        <v>0.71</v>
      </c>
      <c r="F31" s="573">
        <f>+UTAMA!G41</f>
        <v>123.91</v>
      </c>
      <c r="G31" s="577">
        <f>+UTAMA!I41</f>
        <v>124.64</v>
      </c>
      <c r="H31" s="575">
        <f>+UTAMA!H41</f>
        <v>8.4000000000000005E-2</v>
      </c>
      <c r="I31" s="578">
        <f>+UTAMA!J41</f>
        <v>0.155</v>
      </c>
      <c r="J31" s="576">
        <f t="shared" si="0"/>
        <v>184.52380952380952</v>
      </c>
    </row>
    <row r="32" spans="2:13" ht="15.75" x14ac:dyDescent="0.2">
      <c r="B32" s="567">
        <f t="shared" si="1"/>
        <v>24</v>
      </c>
      <c r="C32" s="570" t="s">
        <v>56</v>
      </c>
      <c r="D32" s="571">
        <v>2488</v>
      </c>
      <c r="E32" s="624">
        <f>UTAMA!F42</f>
        <v>0.48</v>
      </c>
      <c r="F32" s="573">
        <f>+UTAMA!G42</f>
        <v>277.41000000000003</v>
      </c>
      <c r="G32" s="574">
        <f>+UTAMA!I42</f>
        <v>279.08</v>
      </c>
      <c r="H32" s="575">
        <f>+UTAMA!H42</f>
        <v>5.7000000000000002E-2</v>
      </c>
      <c r="I32" s="578">
        <f>+UTAMA!J42</f>
        <v>0.13900000000000001</v>
      </c>
      <c r="J32" s="752">
        <f t="shared" si="0"/>
        <v>243.85964912280701</v>
      </c>
    </row>
    <row r="33" spans="2:13" ht="15.75" x14ac:dyDescent="0.2">
      <c r="B33" s="567">
        <f t="shared" si="1"/>
        <v>25</v>
      </c>
      <c r="C33" s="570" t="s">
        <v>57</v>
      </c>
      <c r="D33" s="571">
        <v>426</v>
      </c>
      <c r="E33" s="624">
        <f>UTAMA!F43</f>
        <v>2.8849999999999998</v>
      </c>
      <c r="F33" s="573">
        <f>+UTAMA!G43</f>
        <v>93.17</v>
      </c>
      <c r="G33" s="577">
        <f>+UTAMA!I43</f>
        <v>91.98</v>
      </c>
      <c r="H33" s="575">
        <f>+UTAMA!H43</f>
        <v>0.192</v>
      </c>
      <c r="I33" s="578">
        <f>+UTAMA!J43</f>
        <v>3.4000000000000002E-2</v>
      </c>
      <c r="J33" s="576">
        <f t="shared" si="0"/>
        <v>17.708333333333336</v>
      </c>
    </row>
    <row r="34" spans="2:13" ht="15.75" x14ac:dyDescent="0.2">
      <c r="B34" s="567">
        <f t="shared" si="1"/>
        <v>26</v>
      </c>
      <c r="C34" s="570" t="s">
        <v>58</v>
      </c>
      <c r="D34" s="571">
        <v>295</v>
      </c>
      <c r="E34" s="624">
        <f>UTAMA!F44</f>
        <v>7.9000000000000001E-2</v>
      </c>
      <c r="F34" s="573">
        <f>+UTAMA!G44</f>
        <v>187.69</v>
      </c>
      <c r="G34" s="577">
        <f>+UTAMA!I44</f>
        <v>188.58</v>
      </c>
      <c r="H34" s="575">
        <f>+UTAMA!H44</f>
        <v>1.7999999999999999E-2</v>
      </c>
      <c r="I34" s="578">
        <f>+UTAMA!J44</f>
        <v>4.2999999999999997E-2</v>
      </c>
      <c r="J34" s="576">
        <f t="shared" si="0"/>
        <v>238.88888888888889</v>
      </c>
    </row>
    <row r="35" spans="2:13" ht="15.75" x14ac:dyDescent="0.2">
      <c r="B35" s="567">
        <f t="shared" si="1"/>
        <v>27</v>
      </c>
      <c r="C35" s="570" t="s">
        <v>59</v>
      </c>
      <c r="D35" s="571">
        <v>708</v>
      </c>
      <c r="E35" s="624">
        <f>UTAMA!F45</f>
        <v>0.104</v>
      </c>
      <c r="F35" s="573">
        <f>+UTAMA!G45</f>
        <v>168.41</v>
      </c>
      <c r="G35" s="577">
        <f>+UTAMA!I45</f>
        <v>170.08</v>
      </c>
      <c r="H35" s="575">
        <f>+UTAMA!H45</f>
        <v>0.03</v>
      </c>
      <c r="I35" s="578">
        <f>+UTAMA!J45</f>
        <v>7.0000000000000007E-2</v>
      </c>
      <c r="J35" s="576">
        <f t="shared" si="0"/>
        <v>233.33333333333334</v>
      </c>
    </row>
    <row r="36" spans="2:13" ht="15.75" x14ac:dyDescent="0.2">
      <c r="B36" s="567">
        <f t="shared" si="1"/>
        <v>28</v>
      </c>
      <c r="C36" s="570" t="s">
        <v>60</v>
      </c>
      <c r="D36" s="571">
        <v>1567</v>
      </c>
      <c r="E36" s="624">
        <f>UTAMA!F46</f>
        <v>9.8740000000000006</v>
      </c>
      <c r="F36" s="573">
        <f>+UTAMA!G46</f>
        <v>138.08000000000001</v>
      </c>
      <c r="G36" s="574">
        <f>+UTAMA!I46</f>
        <v>139.74</v>
      </c>
      <c r="H36" s="575">
        <f>+UTAMA!H46</f>
        <v>3.5880000000000001</v>
      </c>
      <c r="I36" s="575">
        <f>+UTAMA!J46</f>
        <v>5.0129999999999999</v>
      </c>
      <c r="J36" s="576">
        <f t="shared" si="0"/>
        <v>139.71571906354515</v>
      </c>
    </row>
    <row r="37" spans="2:13" ht="15.75" x14ac:dyDescent="0.2">
      <c r="B37" s="567">
        <f t="shared" si="1"/>
        <v>29</v>
      </c>
      <c r="C37" s="570" t="s">
        <v>61</v>
      </c>
      <c r="D37" s="571">
        <v>1353</v>
      </c>
      <c r="E37" s="624">
        <f>UTAMA!F47</f>
        <v>2.6720000000000002</v>
      </c>
      <c r="F37" s="573">
        <f>+UTAMA!G47</f>
        <v>236.43</v>
      </c>
      <c r="G37" s="574">
        <f>+UTAMA!I47</f>
        <v>238.5</v>
      </c>
      <c r="H37" s="575">
        <f>+UTAMA!H47</f>
        <v>0.96699999999999997</v>
      </c>
      <c r="I37" s="575">
        <f>+UTAMA!J47</f>
        <v>2.194</v>
      </c>
      <c r="J37" s="752">
        <f t="shared" si="0"/>
        <v>226.88728024819028</v>
      </c>
    </row>
    <row r="38" spans="2:13" ht="15.75" x14ac:dyDescent="0.2">
      <c r="B38" s="567">
        <f t="shared" si="1"/>
        <v>30</v>
      </c>
      <c r="C38" s="570" t="s">
        <v>62</v>
      </c>
      <c r="D38" s="571">
        <v>53</v>
      </c>
      <c r="E38" s="624">
        <f>UTAMA!F48</f>
        <v>3.282</v>
      </c>
      <c r="F38" s="573">
        <f>+UTAMA!G48</f>
        <v>117.9</v>
      </c>
      <c r="G38" s="574">
        <f>+UTAMA!I48</f>
        <v>118.03</v>
      </c>
      <c r="H38" s="575">
        <f>+UTAMA!H48</f>
        <v>1.456</v>
      </c>
      <c r="I38" s="575">
        <f>+UTAMA!J48</f>
        <v>1.6679999999999999</v>
      </c>
      <c r="J38" s="576">
        <f t="shared" si="0"/>
        <v>114.56043956043955</v>
      </c>
    </row>
    <row r="39" spans="2:13" ht="15.75" x14ac:dyDescent="0.2">
      <c r="B39" s="567">
        <f t="shared" si="1"/>
        <v>31</v>
      </c>
      <c r="C39" s="570" t="s">
        <v>63</v>
      </c>
      <c r="D39" s="571">
        <v>51</v>
      </c>
      <c r="E39" s="624">
        <f>UTAMA!F49</f>
        <v>2.75</v>
      </c>
      <c r="F39" s="573">
        <f>+UTAMA!G49</f>
        <v>109.27</v>
      </c>
      <c r="G39" s="574">
        <f>+UTAMA!I49</f>
        <v>108.16</v>
      </c>
      <c r="H39" s="575">
        <f>+UTAMA!H49</f>
        <v>1.1399999999999999</v>
      </c>
      <c r="I39" s="575">
        <f>+UTAMA!J49</f>
        <v>0.56999999999999995</v>
      </c>
      <c r="J39" s="576">
        <f t="shared" si="0"/>
        <v>50</v>
      </c>
    </row>
    <row r="40" spans="2:13" ht="15.75" x14ac:dyDescent="0.2">
      <c r="B40" s="567">
        <f t="shared" si="1"/>
        <v>32</v>
      </c>
      <c r="C40" s="570" t="s">
        <v>211</v>
      </c>
      <c r="D40" s="571">
        <v>0</v>
      </c>
      <c r="E40" s="572">
        <f>UTAMA!F54</f>
        <v>0.47399999999999998</v>
      </c>
      <c r="F40" s="573">
        <f>+UTAMA!G54</f>
        <v>36.85</v>
      </c>
      <c r="G40" s="574">
        <f>+UTAMA!I54</f>
        <v>39</v>
      </c>
      <c r="H40" s="575">
        <f>+UTAMA!H54</f>
        <v>0.19600000000000001</v>
      </c>
      <c r="I40" s="575">
        <f>UTAMA!J54</f>
        <v>0.254</v>
      </c>
      <c r="J40" s="576">
        <f t="shared" si="0"/>
        <v>129.59183673469389</v>
      </c>
    </row>
    <row r="41" spans="2:13" ht="15.75" x14ac:dyDescent="0.2">
      <c r="B41" s="567">
        <f t="shared" si="1"/>
        <v>33</v>
      </c>
      <c r="C41" s="570" t="s">
        <v>212</v>
      </c>
      <c r="D41" s="571">
        <v>0</v>
      </c>
      <c r="E41" s="572">
        <f>UTAMA!F55</f>
        <v>0.81699999999999995</v>
      </c>
      <c r="F41" s="573">
        <f>+UTAMA!G55</f>
        <v>67.94</v>
      </c>
      <c r="G41" s="574">
        <f>+UTAMA!I55</f>
        <v>69.599999999999994</v>
      </c>
      <c r="H41" s="575">
        <f>+UTAMA!H55</f>
        <v>0.27800000000000002</v>
      </c>
      <c r="I41" s="575">
        <f>UTAMA!J55</f>
        <v>0.45300000000000001</v>
      </c>
      <c r="J41" s="576">
        <f t="shared" si="0"/>
        <v>162.94964028776977</v>
      </c>
    </row>
    <row r="42" spans="2:13" ht="16.5" thickBot="1" x14ac:dyDescent="0.25">
      <c r="B42" s="579"/>
      <c r="C42" s="580" t="s">
        <v>89</v>
      </c>
      <c r="D42" s="581">
        <f>SUM(D9:D41)</f>
        <v>63083</v>
      </c>
      <c r="E42" s="582">
        <f>SUM(E9:E41)</f>
        <v>84.285999999999973</v>
      </c>
      <c r="F42" s="583"/>
      <c r="G42" s="583"/>
      <c r="H42" s="584">
        <f>SUM(H9:H41)</f>
        <v>27.664999999999999</v>
      </c>
      <c r="I42" s="585">
        <f>SUM(I9:I41)</f>
        <v>34.723000000000006</v>
      </c>
      <c r="J42" s="586">
        <f>+I42/H42*100%*100</f>
        <v>125.51238026387135</v>
      </c>
    </row>
    <row r="43" spans="2:13" ht="16.5" thickBot="1" x14ac:dyDescent="0.25">
      <c r="B43" s="587" t="s">
        <v>68</v>
      </c>
      <c r="C43" s="588" t="s">
        <v>69</v>
      </c>
      <c r="D43" s="588"/>
      <c r="E43" s="589"/>
      <c r="F43" s="590"/>
      <c r="G43" s="590"/>
      <c r="H43" s="591" t="s">
        <v>95</v>
      </c>
      <c r="I43" s="592">
        <f>+I42/H42*100%</f>
        <v>1.2551238026387135</v>
      </c>
      <c r="J43" s="593"/>
    </row>
    <row r="44" spans="2:13" ht="15" x14ac:dyDescent="0.2">
      <c r="B44" s="594"/>
      <c r="C44" s="595" t="s">
        <v>90</v>
      </c>
      <c r="D44" s="595"/>
      <c r="E44" s="595"/>
      <c r="F44" s="596"/>
      <c r="G44" s="596"/>
      <c r="H44" s="596"/>
      <c r="I44" s="596"/>
      <c r="J44" s="596"/>
    </row>
    <row r="45" spans="2:13" ht="15.75" x14ac:dyDescent="0.25">
      <c r="B45" s="594"/>
      <c r="C45" s="596" t="s">
        <v>91</v>
      </c>
      <c r="D45" s="596"/>
      <c r="E45" s="596"/>
      <c r="F45" s="596"/>
      <c r="G45" s="596"/>
      <c r="H45" s="596"/>
      <c r="I45" s="596"/>
      <c r="J45" s="596"/>
      <c r="M45" s="202"/>
    </row>
    <row r="46" spans="2:13" ht="15" x14ac:dyDescent="0.2">
      <c r="B46" s="594"/>
      <c r="C46" s="596" t="s">
        <v>97</v>
      </c>
      <c r="D46" s="596"/>
      <c r="E46" s="597" t="s">
        <v>98</v>
      </c>
      <c r="F46" s="596" t="s">
        <v>99</v>
      </c>
      <c r="G46" s="596"/>
      <c r="H46" s="596"/>
      <c r="I46" s="598" t="s">
        <v>176</v>
      </c>
      <c r="J46" s="246">
        <f>COUNTIF(J9:J41,"&gt;100")</f>
        <v>27</v>
      </c>
    </row>
    <row r="47" spans="2:13" ht="15" x14ac:dyDescent="0.2">
      <c r="B47" s="594"/>
      <c r="C47" s="596" t="s">
        <v>100</v>
      </c>
      <c r="D47" s="596"/>
      <c r="E47" s="597" t="s">
        <v>98</v>
      </c>
      <c r="F47" s="596" t="s">
        <v>101</v>
      </c>
      <c r="G47" s="596"/>
      <c r="H47" s="596"/>
      <c r="I47" s="598" t="s">
        <v>176</v>
      </c>
      <c r="J47" s="599">
        <f>COUNTIFS(J9:J41,"&gt;=85",J9:J41,"&lt;=100")</f>
        <v>0</v>
      </c>
    </row>
    <row r="48" spans="2:13" ht="15" x14ac:dyDescent="0.2">
      <c r="B48" s="594"/>
      <c r="C48" s="596" t="s">
        <v>102</v>
      </c>
      <c r="D48" s="596"/>
      <c r="E48" s="597" t="s">
        <v>98</v>
      </c>
      <c r="F48" s="596" t="s">
        <v>103</v>
      </c>
      <c r="G48" s="596"/>
      <c r="H48" s="596"/>
      <c r="I48" s="598" t="s">
        <v>176</v>
      </c>
      <c r="J48" s="247">
        <f>COUNTIFS(J9:J41,"&gt;0",J9:J41,"&lt;=85")</f>
        <v>5</v>
      </c>
    </row>
    <row r="49" spans="2:10" ht="15.75" thickBot="1" x14ac:dyDescent="0.25">
      <c r="B49" s="594"/>
      <c r="C49" s="600">
        <v>0</v>
      </c>
      <c r="D49" s="600"/>
      <c r="E49" s="597" t="s">
        <v>98</v>
      </c>
      <c r="F49" s="596" t="s">
        <v>127</v>
      </c>
      <c r="G49" s="596"/>
      <c r="H49" s="596"/>
      <c r="I49" s="598" t="s">
        <v>176</v>
      </c>
      <c r="J49" s="601">
        <v>1</v>
      </c>
    </row>
    <row r="50" spans="2:10" ht="16.5" thickTop="1" x14ac:dyDescent="0.2">
      <c r="B50" s="594"/>
      <c r="C50" s="596"/>
      <c r="D50" s="596"/>
      <c r="E50" s="596"/>
      <c r="F50" s="597"/>
      <c r="G50" s="596"/>
      <c r="H50" s="596"/>
      <c r="I50" s="170" t="s">
        <v>89</v>
      </c>
      <c r="J50" s="602">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7" t="s">
        <v>342</v>
      </c>
      <c r="C2" s="757"/>
      <c r="D2" s="757"/>
      <c r="E2" s="757"/>
      <c r="F2" s="757"/>
      <c r="G2" s="757"/>
      <c r="H2" s="757"/>
      <c r="I2" s="757"/>
      <c r="J2" s="757"/>
      <c r="K2" s="757"/>
      <c r="L2" s="756"/>
      <c r="M2" s="756"/>
      <c r="N2" s="756"/>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904" t="s">
        <v>285</v>
      </c>
      <c r="C2" s="904"/>
      <c r="D2" s="904"/>
      <c r="E2" s="904"/>
      <c r="F2" s="904"/>
      <c r="G2" s="904"/>
      <c r="H2" s="904"/>
      <c r="I2" s="904"/>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33" t="s">
        <v>278</v>
      </c>
      <c r="J4" s="533"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32">
        <v>79.963999999999999</v>
      </c>
      <c r="J5" s="532">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4" t="s">
        <v>284</v>
      </c>
      <c r="C2" s="904"/>
      <c r="D2" s="904"/>
      <c r="E2" s="904"/>
      <c r="F2" s="904"/>
      <c r="G2" s="904"/>
      <c r="H2" s="904"/>
      <c r="I2" s="904"/>
      <c r="J2" s="904"/>
      <c r="K2" s="904"/>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81"/>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904" t="s">
        <v>283</v>
      </c>
      <c r="C2" s="904"/>
      <c r="D2" s="904"/>
      <c r="E2" s="904"/>
      <c r="F2" s="904"/>
      <c r="G2" s="904"/>
      <c r="H2" s="904"/>
      <c r="I2" s="904"/>
      <c r="J2" s="904"/>
      <c r="K2" s="904"/>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74" t="s">
        <v>279</v>
      </c>
      <c r="C3" s="974"/>
      <c r="D3" s="974"/>
      <c r="E3" s="974"/>
      <c r="F3" s="974"/>
      <c r="G3" s="974"/>
      <c r="H3" s="974"/>
      <c r="I3" s="974"/>
      <c r="J3" s="974"/>
      <c r="K3" s="974"/>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42" t="s">
        <v>16</v>
      </c>
      <c r="B3" s="942"/>
      <c r="C3" s="942"/>
      <c r="D3" s="942"/>
      <c r="E3" s="942"/>
      <c r="F3" s="942"/>
      <c r="G3" s="942"/>
      <c r="H3" s="942"/>
      <c r="I3" s="942"/>
    </row>
    <row r="4" spans="1:14" ht="21" x14ac:dyDescent="0.2">
      <c r="A4" s="942" t="s">
        <v>17</v>
      </c>
      <c r="B4" s="942"/>
      <c r="C4" s="942"/>
      <c r="D4" s="942"/>
      <c r="E4" s="942"/>
      <c r="F4" s="942"/>
      <c r="G4" s="942"/>
      <c r="H4" s="942"/>
      <c r="I4" s="942"/>
    </row>
    <row r="5" spans="1:14" ht="21" x14ac:dyDescent="0.35">
      <c r="A5" s="975" t="str">
        <f>+UTAMA!B4</f>
        <v xml:space="preserve">MINGGU KE III OKTOBER ( 14 OKTOBER S/D 20 OKTOBER 2025 ) dalam Juta m3 </v>
      </c>
      <c r="B5" s="975"/>
      <c r="C5" s="975"/>
      <c r="D5" s="975"/>
      <c r="E5" s="975"/>
      <c r="F5" s="975"/>
      <c r="G5" s="975"/>
      <c r="H5" s="975"/>
      <c r="I5" s="975"/>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339.55</v>
      </c>
      <c r="H11" s="90">
        <f>+UTAMA!J12</f>
        <v>7.81</v>
      </c>
      <c r="I11" s="91">
        <v>35162</v>
      </c>
      <c r="K11" s="125"/>
      <c r="L11" s="125"/>
      <c r="M11" s="125"/>
      <c r="N11" s="92"/>
    </row>
    <row r="12" spans="1:14" ht="15.75" x14ac:dyDescent="0.25">
      <c r="A12" s="126">
        <f>+A11+1</f>
        <v>2</v>
      </c>
      <c r="B12" s="127" t="s">
        <v>29</v>
      </c>
      <c r="C12" s="93">
        <f>+UTAMA!E13</f>
        <v>77.5</v>
      </c>
      <c r="D12" s="94">
        <f>+UTAMA!F13</f>
        <v>45.13</v>
      </c>
      <c r="E12" s="95">
        <f>+UTAMA!G13</f>
        <v>70.16</v>
      </c>
      <c r="F12" s="94">
        <f>+UTAMA!H13</f>
        <v>13.352</v>
      </c>
      <c r="G12" s="93">
        <f>+UTAMA!I13</f>
        <v>70.72</v>
      </c>
      <c r="H12" s="94">
        <f>+UTAMA!J13</f>
        <v>15.074999999999999</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53.96</v>
      </c>
      <c r="F13" s="94">
        <f>+UTAMA!H11</f>
        <v>21.207999999999998</v>
      </c>
      <c r="G13" s="93">
        <f>+UTAMA!I11</f>
        <v>50.26</v>
      </c>
      <c r="H13" s="94">
        <f>+UTAMA!J11</f>
        <v>7.55</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461.13</v>
      </c>
      <c r="H14" s="94">
        <f>+UTAMA!J14</f>
        <v>17.05</v>
      </c>
      <c r="I14" s="96">
        <v>19972</v>
      </c>
      <c r="K14" s="125"/>
      <c r="L14" s="125"/>
      <c r="M14" s="125"/>
      <c r="N14" s="92"/>
    </row>
    <row r="15" spans="1:14" ht="15.75" x14ac:dyDescent="0.25">
      <c r="A15" s="126">
        <f t="shared" si="0"/>
        <v>5</v>
      </c>
      <c r="B15" s="127" t="s">
        <v>32</v>
      </c>
      <c r="C15" s="93">
        <f>+UTAMA!E15</f>
        <v>207</v>
      </c>
      <c r="D15" s="94">
        <f>+UTAMA!F15</f>
        <v>9.5030000000000001</v>
      </c>
      <c r="E15" s="97">
        <f>+UTAMA!H15</f>
        <v>2.1840000000000002</v>
      </c>
      <c r="F15" s="94">
        <f>+UTAMA!H15</f>
        <v>2.1840000000000002</v>
      </c>
      <c r="G15" s="93">
        <f>+UTAMA!I15</f>
        <v>207.01</v>
      </c>
      <c r="H15" s="94">
        <f>+UTAMA!J15</f>
        <v>2.5209999999999999</v>
      </c>
      <c r="I15" s="96">
        <v>4959</v>
      </c>
      <c r="K15" s="125"/>
      <c r="L15" s="125"/>
      <c r="M15" s="125"/>
      <c r="N15" s="92"/>
    </row>
    <row r="16" spans="1:14" ht="15.75" x14ac:dyDescent="0.25">
      <c r="A16" s="126">
        <f t="shared" si="0"/>
        <v>6</v>
      </c>
      <c r="B16" s="127" t="s">
        <v>33</v>
      </c>
      <c r="C16" s="93">
        <f>+UTAMA!E16</f>
        <v>320</v>
      </c>
      <c r="D16" s="94">
        <f>+UTAMA!F16</f>
        <v>5.1509999999999998</v>
      </c>
      <c r="E16" s="97">
        <f>+UTAMA!H16</f>
        <v>1.8009999999999999</v>
      </c>
      <c r="F16" s="94">
        <f>+UTAMA!H16</f>
        <v>1.8009999999999999</v>
      </c>
      <c r="G16" s="93">
        <f>+UTAMA!I16</f>
        <v>312.97000000000003</v>
      </c>
      <c r="H16" s="94">
        <f>+UTAMA!J16</f>
        <v>1.8049999999999999</v>
      </c>
      <c r="I16" s="96">
        <v>6052</v>
      </c>
      <c r="K16" s="125"/>
      <c r="L16" s="125"/>
      <c r="M16" s="125"/>
      <c r="N16" s="92"/>
    </row>
    <row r="17" spans="1:14" ht="15.75" x14ac:dyDescent="0.25">
      <c r="A17" s="126">
        <f t="shared" si="0"/>
        <v>7</v>
      </c>
      <c r="B17" s="127" t="s">
        <v>34</v>
      </c>
      <c r="C17" s="93">
        <f>+UTAMA!E17</f>
        <v>90</v>
      </c>
      <c r="D17" s="94">
        <f>+UTAMA!F17</f>
        <v>689.09100000000001</v>
      </c>
      <c r="E17" s="97">
        <f>+UTAMA!G17</f>
        <v>82</v>
      </c>
      <c r="F17" s="94">
        <f>+UTAMA!H17</f>
        <v>297.44299999999998</v>
      </c>
      <c r="G17" s="93">
        <f>+UTAMA!I17</f>
        <v>82.05</v>
      </c>
      <c r="H17" s="94">
        <f>+UTAMA!J17</f>
        <v>298.74299999999999</v>
      </c>
      <c r="I17" s="96">
        <v>59645</v>
      </c>
      <c r="K17" s="125"/>
      <c r="L17" s="125"/>
      <c r="M17" s="125"/>
      <c r="N17" s="92"/>
    </row>
    <row r="18" spans="1:14" ht="15.75" x14ac:dyDescent="0.25">
      <c r="A18" s="126">
        <f t="shared" si="0"/>
        <v>8</v>
      </c>
      <c r="B18" s="127" t="s">
        <v>35</v>
      </c>
      <c r="C18" s="93">
        <f>+UTAMA!E20</f>
        <v>120.5</v>
      </c>
      <c r="D18" s="94">
        <f>+UTAMA!F20</f>
        <v>2.0920000000000001</v>
      </c>
      <c r="E18" s="97">
        <f>+UTAMA!G20</f>
        <v>116.42</v>
      </c>
      <c r="F18" s="94">
        <f>+UTAMA!H20</f>
        <v>0.33600000000000002</v>
      </c>
      <c r="G18" s="93">
        <f>+UTAMA!I20</f>
        <v>118.17</v>
      </c>
      <c r="H18" s="94">
        <f>+UTAMA!J20</f>
        <v>0.89600000000000002</v>
      </c>
      <c r="I18" s="98">
        <v>923</v>
      </c>
      <c r="K18" s="125"/>
      <c r="L18" s="125"/>
      <c r="M18" s="128"/>
      <c r="N18" s="92"/>
    </row>
    <row r="19" spans="1:14" ht="15.75" x14ac:dyDescent="0.25">
      <c r="A19" s="126">
        <f t="shared" si="0"/>
        <v>9</v>
      </c>
      <c r="B19" s="127" t="s">
        <v>36</v>
      </c>
      <c r="C19" s="93">
        <f>+UTAMA!E21</f>
        <v>120.8</v>
      </c>
      <c r="D19" s="94">
        <f>+UTAMA!F21</f>
        <v>2.3530000000000002</v>
      </c>
      <c r="E19" s="97">
        <f>+UTAMA!G21</f>
        <v>116.97</v>
      </c>
      <c r="F19" s="94">
        <f>+UTAMA!H21</f>
        <v>0.42299999999999999</v>
      </c>
      <c r="G19" s="93">
        <f>+UTAMA!I21</f>
        <v>118.82</v>
      </c>
      <c r="H19" s="94">
        <f>+UTAMA!J21</f>
        <v>0.95599999999999996</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2.879</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48.37</v>
      </c>
      <c r="F21" s="94">
        <f>+UTAMA!H23</f>
        <v>0.33</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74.209999999999994</v>
      </c>
      <c r="F22" s="94">
        <f>+UTAMA!H24</f>
        <v>0.221</v>
      </c>
      <c r="G22" s="93">
        <f>+UTAMA!I24</f>
        <v>76.91</v>
      </c>
      <c r="H22" s="94">
        <f>+UTAMA!J24</f>
        <v>0.56999999999999995</v>
      </c>
      <c r="I22" s="96">
        <v>750</v>
      </c>
      <c r="K22" s="125"/>
      <c r="L22" s="125"/>
      <c r="M22" s="128"/>
      <c r="N22" s="92"/>
    </row>
    <row r="23" spans="1:14" ht="15.75" x14ac:dyDescent="0.25">
      <c r="A23" s="126">
        <f t="shared" si="0"/>
        <v>13</v>
      </c>
      <c r="B23" s="127" t="s">
        <v>41</v>
      </c>
      <c r="C23" s="93">
        <f>+UTAMA!E25</f>
        <v>82.8</v>
      </c>
      <c r="D23" s="94">
        <f>+UTAMA!F25</f>
        <v>0.42899999999999999</v>
      </c>
      <c r="E23" s="99">
        <f>+UTAMA!G25</f>
        <v>78.010000000000005</v>
      </c>
      <c r="F23" s="94">
        <f>+UTAMA!H25</f>
        <v>0.03</v>
      </c>
      <c r="G23" s="93">
        <f>+UTAMA!I25</f>
        <v>80.959999999999994</v>
      </c>
      <c r="H23" s="94">
        <f>+UTAMA!J25</f>
        <v>0.23</v>
      </c>
      <c r="I23" s="96">
        <v>482</v>
      </c>
      <c r="K23" s="125"/>
      <c r="L23" s="125"/>
      <c r="M23" s="125"/>
      <c r="N23" s="92"/>
    </row>
    <row r="24" spans="1:14" ht="15.75" x14ac:dyDescent="0.25">
      <c r="A24" s="126">
        <f t="shared" si="0"/>
        <v>14</v>
      </c>
      <c r="B24" s="127" t="s">
        <v>42</v>
      </c>
      <c r="C24" s="93">
        <f>+UTAMA!E26</f>
        <v>69.95</v>
      </c>
      <c r="D24" s="94">
        <f>+UTAMA!F26</f>
        <v>0.25</v>
      </c>
      <c r="E24" s="99">
        <f>+UTAMA!G26</f>
        <v>60.34</v>
      </c>
      <c r="F24" s="94">
        <f>+UTAMA!H26</f>
        <v>6.0999999999999999E-2</v>
      </c>
      <c r="G24" s="93">
        <f>+UTAMA!I26</f>
        <v>63.17</v>
      </c>
      <c r="H24" s="94">
        <f>+UTAMA!J26</f>
        <v>0.224</v>
      </c>
      <c r="I24" s="96">
        <v>366</v>
      </c>
      <c r="K24" s="125"/>
      <c r="L24" s="125"/>
      <c r="M24" s="125"/>
      <c r="N24" s="101"/>
    </row>
    <row r="25" spans="1:14" ht="15.75" x14ac:dyDescent="0.25">
      <c r="A25" s="126">
        <f t="shared" si="0"/>
        <v>15</v>
      </c>
      <c r="B25" s="127" t="s">
        <v>43</v>
      </c>
      <c r="C25" s="93">
        <f>+UTAMA!E27</f>
        <v>48.2</v>
      </c>
      <c r="D25" s="94">
        <f>+UTAMA!F27</f>
        <v>0.38500000000000001</v>
      </c>
      <c r="E25" s="97">
        <f>+UTAMA!G27</f>
        <v>44.46</v>
      </c>
      <c r="F25" s="94">
        <f>+UTAMA!H27</f>
        <v>7.5999999999999998E-2</v>
      </c>
      <c r="G25" s="93">
        <f>+UTAMA!I27</f>
        <v>46.69</v>
      </c>
      <c r="H25" s="94">
        <f>+UTAMA!J27</f>
        <v>7.6999999999999999E-2</v>
      </c>
      <c r="I25" s="100">
        <v>260</v>
      </c>
      <c r="K25" s="125"/>
      <c r="L25" s="125"/>
      <c r="M25" s="125"/>
      <c r="N25" s="92"/>
    </row>
    <row r="26" spans="1:14" ht="15.75" x14ac:dyDescent="0.25">
      <c r="A26" s="126">
        <f t="shared" si="0"/>
        <v>16</v>
      </c>
      <c r="B26" s="127" t="s">
        <v>44</v>
      </c>
      <c r="C26" s="93">
        <f>+UTAMA!E28</f>
        <v>136</v>
      </c>
      <c r="D26" s="94">
        <f>+UTAMA!F28</f>
        <v>398.69</v>
      </c>
      <c r="E26" s="97">
        <f>+UTAMA!G28</f>
        <v>127.72</v>
      </c>
      <c r="F26" s="94">
        <f>+UTAMA!H28</f>
        <v>55.326999999999998</v>
      </c>
      <c r="G26" s="93">
        <f>+UTAMA!I28</f>
        <v>127.77</v>
      </c>
      <c r="H26" s="94">
        <f>+UTAMA!J28</f>
        <v>56.267000000000003</v>
      </c>
      <c r="I26" s="96">
        <v>28109</v>
      </c>
      <c r="K26" s="125"/>
      <c r="L26" s="125"/>
      <c r="M26" s="125"/>
      <c r="N26" s="102"/>
    </row>
    <row r="27" spans="1:14" ht="15.75" x14ac:dyDescent="0.25">
      <c r="A27" s="126">
        <f t="shared" si="0"/>
        <v>17</v>
      </c>
      <c r="B27" s="127" t="s">
        <v>45</v>
      </c>
      <c r="C27" s="93">
        <f>+UTAMA!E30</f>
        <v>113.5</v>
      </c>
      <c r="D27" s="94">
        <f>+UTAMA!F30</f>
        <v>2.3410000000000002</v>
      </c>
      <c r="E27" s="97">
        <f>+UTAMA!G30</f>
        <v>106.04</v>
      </c>
      <c r="F27" s="94">
        <f>+UTAMA!H30</f>
        <v>0.13400000000000001</v>
      </c>
      <c r="G27" s="93">
        <f>+UTAMA!I30</f>
        <v>103</v>
      </c>
      <c r="H27" s="94">
        <f>+UTAMA!J30</f>
        <v>0</v>
      </c>
      <c r="I27" s="96">
        <v>874</v>
      </c>
      <c r="K27" s="125"/>
      <c r="L27" s="125"/>
      <c r="M27" s="125"/>
      <c r="N27" s="102"/>
    </row>
    <row r="28" spans="1:14" ht="15.75" x14ac:dyDescent="0.25">
      <c r="A28" s="126">
        <f t="shared" si="0"/>
        <v>18</v>
      </c>
      <c r="B28" s="127" t="s">
        <v>46</v>
      </c>
      <c r="C28" s="93">
        <f>+UTAMA!E31</f>
        <v>225.4</v>
      </c>
      <c r="D28" s="94">
        <f>+UTAMA!F31</f>
        <v>0.32300000000000001</v>
      </c>
      <c r="E28" s="97">
        <f>+UTAMA!G31</f>
        <v>200.81</v>
      </c>
      <c r="F28" s="94">
        <f>+UTAMA!H31</f>
        <v>6.3E-2</v>
      </c>
      <c r="G28" s="93">
        <f>+UTAMA!I31</f>
        <v>200.52</v>
      </c>
      <c r="H28" s="94">
        <f>+UTAMA!J31</f>
        <v>0.05</v>
      </c>
      <c r="I28" s="100">
        <v>392</v>
      </c>
      <c r="K28" s="125"/>
      <c r="L28" s="125"/>
      <c r="M28" s="125"/>
      <c r="N28" s="92"/>
    </row>
    <row r="29" spans="1:14" ht="15.75" x14ac:dyDescent="0.25">
      <c r="A29" s="126">
        <f t="shared" si="0"/>
        <v>19</v>
      </c>
      <c r="B29" s="127" t="s">
        <v>47</v>
      </c>
      <c r="C29" s="93">
        <f>+UTAMA!E32</f>
        <v>224</v>
      </c>
      <c r="D29" s="94">
        <f>+UTAMA!F32</f>
        <v>0.42899999999999999</v>
      </c>
      <c r="E29" s="97">
        <f>+UTAMA!G32</f>
        <v>218.01</v>
      </c>
      <c r="F29" s="94">
        <f>+UTAMA!H32</f>
        <v>6.5000000000000002E-2</v>
      </c>
      <c r="G29" s="93">
        <f>+UTAMA!I32</f>
        <v>221.92</v>
      </c>
      <c r="H29" s="94">
        <f>+UTAMA!J32</f>
        <v>0.26700000000000002</v>
      </c>
      <c r="I29" s="100">
        <v>500</v>
      </c>
      <c r="K29" s="125"/>
      <c r="L29" s="125"/>
      <c r="M29" s="125"/>
      <c r="N29" s="92"/>
    </row>
    <row r="30" spans="1:14" ht="15.75" x14ac:dyDescent="0.25">
      <c r="A30" s="126">
        <f t="shared" si="0"/>
        <v>20</v>
      </c>
      <c r="B30" s="127" t="s">
        <v>48</v>
      </c>
      <c r="C30" s="93">
        <f>+UTAMA!E33</f>
        <v>196</v>
      </c>
      <c r="D30" s="94">
        <f>+UTAMA!F33</f>
        <v>0.77100000000000002</v>
      </c>
      <c r="E30" s="97">
        <f>+UTAMA!G33</f>
        <v>190.7</v>
      </c>
      <c r="F30" s="94">
        <f>+UTAMA!H33</f>
        <v>6.4000000000000001E-2</v>
      </c>
      <c r="G30" s="93">
        <f>+UTAMA!I33</f>
        <v>191.45</v>
      </c>
      <c r="H30" s="94">
        <f>+UTAMA!J33</f>
        <v>0.11600000000000001</v>
      </c>
      <c r="I30" s="100">
        <v>700</v>
      </c>
      <c r="K30" s="125"/>
      <c r="L30" s="125"/>
      <c r="M30" s="125"/>
      <c r="N30" s="92"/>
    </row>
    <row r="31" spans="1:14" ht="15.75" x14ac:dyDescent="0.25">
      <c r="A31" s="126">
        <f t="shared" si="0"/>
        <v>21</v>
      </c>
      <c r="B31" s="127" t="s">
        <v>49</v>
      </c>
      <c r="C31" s="93">
        <f>+UTAMA!E34</f>
        <v>174</v>
      </c>
      <c r="D31" s="94">
        <f>+UTAMA!F34</f>
        <v>0.32500000000000001</v>
      </c>
      <c r="E31" s="99">
        <f>+UTAMA!G34</f>
        <v>162.18</v>
      </c>
      <c r="F31" s="94">
        <f>+UTAMA!H34</f>
        <v>0.02</v>
      </c>
      <c r="G31" s="93">
        <f>+UTAMA!I34</f>
        <v>163.94</v>
      </c>
      <c r="H31" s="94">
        <f>+UTAMA!J34</f>
        <v>0.127</v>
      </c>
      <c r="I31" s="100">
        <v>87</v>
      </c>
      <c r="K31" s="125"/>
      <c r="L31" s="125"/>
      <c r="M31" s="125"/>
      <c r="N31" s="102"/>
    </row>
    <row r="32" spans="1:14" ht="15.75" x14ac:dyDescent="0.25">
      <c r="A32" s="126">
        <f t="shared" si="0"/>
        <v>22</v>
      </c>
      <c r="B32" s="127" t="s">
        <v>50</v>
      </c>
      <c r="C32" s="93">
        <f>+UTAMA!E35</f>
        <v>229.1</v>
      </c>
      <c r="D32" s="94">
        <f>+UTAMA!F35</f>
        <v>0.71399999999999997</v>
      </c>
      <c r="E32" s="97">
        <f>+UTAMA!G35</f>
        <v>220.3</v>
      </c>
      <c r="F32" s="94">
        <f>+UTAMA!H35</f>
        <v>7.8E-2</v>
      </c>
      <c r="G32" s="93">
        <f>+UTAMA!I35</f>
        <v>221.82</v>
      </c>
      <c r="H32" s="94">
        <f>+UTAMA!J35</f>
        <v>0.15</v>
      </c>
      <c r="I32" s="98">
        <v>354</v>
      </c>
      <c r="K32" s="125"/>
      <c r="L32" s="125"/>
      <c r="M32" s="125"/>
      <c r="N32" s="92"/>
    </row>
    <row r="33" spans="1:14" ht="15.75" x14ac:dyDescent="0.25">
      <c r="A33" s="126">
        <f t="shared" si="0"/>
        <v>23</v>
      </c>
      <c r="B33" s="127" t="s">
        <v>51</v>
      </c>
      <c r="C33" s="93">
        <f>+UTAMA!E36</f>
        <v>249</v>
      </c>
      <c r="D33" s="94">
        <f>+UTAMA!F36</f>
        <v>1.708</v>
      </c>
      <c r="E33" s="97">
        <f>+UTAMA!G36</f>
        <v>239.7</v>
      </c>
      <c r="F33" s="94">
        <f>+UTAMA!H36</f>
        <v>2.5999999999999999E-2</v>
      </c>
      <c r="G33" s="93">
        <f>+UTAMA!I36</f>
        <v>240.81</v>
      </c>
      <c r="H33" s="94">
        <f>+UTAMA!J36</f>
        <v>9.2999999999999999E-2</v>
      </c>
      <c r="I33" s="100">
        <v>637</v>
      </c>
      <c r="K33" s="125"/>
      <c r="L33" s="125"/>
      <c r="M33" s="125"/>
      <c r="N33" s="92"/>
    </row>
    <row r="34" spans="1:14" ht="15.75" x14ac:dyDescent="0.25">
      <c r="A34" s="126">
        <f t="shared" si="0"/>
        <v>24</v>
      </c>
      <c r="B34" s="127" t="s">
        <v>52</v>
      </c>
      <c r="C34" s="93">
        <f>+UTAMA!E38</f>
        <v>164.75</v>
      </c>
      <c r="D34" s="94">
        <f>+UTAMA!F38</f>
        <v>4.3979999999999997</v>
      </c>
      <c r="E34" s="97">
        <f>+UTAMA!G38</f>
        <v>148.21</v>
      </c>
      <c r="F34" s="94">
        <f>+UTAMA!H38</f>
        <v>2.1749999999999998</v>
      </c>
      <c r="G34" s="93">
        <f>+UTAMA!I38</f>
        <v>148.76</v>
      </c>
      <c r="H34" s="94">
        <f>+UTAMA!J38</f>
        <v>2.4950000000000001</v>
      </c>
      <c r="I34" s="100">
        <v>7394</v>
      </c>
      <c r="K34" s="125"/>
      <c r="L34" s="125"/>
      <c r="M34" s="125"/>
      <c r="N34" s="102"/>
    </row>
    <row r="35" spans="1:14" ht="15.75" x14ac:dyDescent="0.25">
      <c r="A35" s="126">
        <f t="shared" si="0"/>
        <v>25</v>
      </c>
      <c r="B35" s="127" t="s">
        <v>53</v>
      </c>
      <c r="C35" s="93">
        <f>+UTAMA!E39</f>
        <v>179.1</v>
      </c>
      <c r="D35" s="94">
        <f>+UTAMA!F39</f>
        <v>3.3109999999999999</v>
      </c>
      <c r="E35" s="103">
        <f>+UTAMA!G39</f>
        <v>198.9</v>
      </c>
      <c r="F35" s="94">
        <f>+UTAMA!H39</f>
        <v>0.58699999999999997</v>
      </c>
      <c r="G35" s="93">
        <f>+UTAMA!I39</f>
        <v>200.45</v>
      </c>
      <c r="H35" s="94">
        <f>+UTAMA!J39</f>
        <v>1.0740000000000001</v>
      </c>
      <c r="I35" s="100">
        <v>2410</v>
      </c>
      <c r="K35" s="125"/>
      <c r="L35" s="125"/>
      <c r="M35" s="125"/>
      <c r="N35" s="102"/>
    </row>
    <row r="36" spans="1:14" ht="15.75" x14ac:dyDescent="0.25">
      <c r="A36" s="126">
        <f t="shared" si="0"/>
        <v>26</v>
      </c>
      <c r="B36" s="127" t="s">
        <v>54</v>
      </c>
      <c r="C36" s="93">
        <f>+UTAMA!E40</f>
        <v>325.56</v>
      </c>
      <c r="D36" s="94">
        <f>+UTAMA!F40</f>
        <v>0.64700000000000002</v>
      </c>
      <c r="E36" s="103">
        <f>+UTAMA!G40</f>
        <v>319.63</v>
      </c>
      <c r="F36" s="94">
        <f>+UTAMA!H40</f>
        <v>0.16800000000000001</v>
      </c>
      <c r="G36" s="93">
        <f>+UTAMA!I40</f>
        <v>319</v>
      </c>
      <c r="H36" s="94">
        <f>+UTAMA!J40</f>
        <v>0.13200000000000001</v>
      </c>
      <c r="I36" s="100">
        <v>1370</v>
      </c>
      <c r="K36" s="125"/>
      <c r="L36" s="125"/>
      <c r="M36" s="125"/>
      <c r="N36" s="102"/>
    </row>
    <row r="37" spans="1:14" ht="15.75" x14ac:dyDescent="0.25">
      <c r="A37" s="126">
        <f t="shared" si="0"/>
        <v>27</v>
      </c>
      <c r="B37" s="127" t="s">
        <v>55</v>
      </c>
      <c r="C37" s="93">
        <f>+UTAMA!E41</f>
        <v>129.19999999999999</v>
      </c>
      <c r="D37" s="94">
        <f>+UTAMA!F41</f>
        <v>0.71</v>
      </c>
      <c r="E37" s="103">
        <f>+UTAMA!G41</f>
        <v>123.91</v>
      </c>
      <c r="F37" s="94">
        <f>+UTAMA!H41</f>
        <v>8.4000000000000005E-2</v>
      </c>
      <c r="G37" s="93">
        <f>+UTAMA!I41</f>
        <v>124.64</v>
      </c>
      <c r="H37" s="94">
        <f>+UTAMA!J41</f>
        <v>0.155</v>
      </c>
      <c r="I37" s="100">
        <v>358</v>
      </c>
      <c r="K37" s="125"/>
      <c r="L37" s="125"/>
      <c r="M37" s="125"/>
      <c r="N37" s="102"/>
    </row>
    <row r="38" spans="1:14" ht="15.75" x14ac:dyDescent="0.25">
      <c r="A38" s="126">
        <f t="shared" si="0"/>
        <v>28</v>
      </c>
      <c r="B38" s="127" t="s">
        <v>56</v>
      </c>
      <c r="C38" s="93">
        <f>+UTAMA!E42</f>
        <v>282.77999999999997</v>
      </c>
      <c r="D38" s="94">
        <f>+UTAMA!F42</f>
        <v>0.48</v>
      </c>
      <c r="E38" s="103">
        <f>+UTAMA!G42</f>
        <v>277.41000000000003</v>
      </c>
      <c r="F38" s="94">
        <f>+UTAMA!H42</f>
        <v>5.7000000000000002E-2</v>
      </c>
      <c r="G38" s="93">
        <f>+UTAMA!I42</f>
        <v>279.08</v>
      </c>
      <c r="H38" s="94">
        <f>+UTAMA!J42</f>
        <v>0.13900000000000001</v>
      </c>
      <c r="I38" s="100">
        <v>268</v>
      </c>
      <c r="K38" s="125"/>
      <c r="L38" s="125"/>
      <c r="M38" s="125"/>
      <c r="N38" s="101"/>
    </row>
    <row r="39" spans="1:14" ht="15.75" x14ac:dyDescent="0.25">
      <c r="A39" s="126">
        <f t="shared" si="0"/>
        <v>29</v>
      </c>
      <c r="B39" s="127" t="s">
        <v>57</v>
      </c>
      <c r="C39" s="93">
        <f>+UTAMA!E43</f>
        <v>99</v>
      </c>
      <c r="D39" s="94">
        <f>+UTAMA!F43</f>
        <v>2.8849999999999998</v>
      </c>
      <c r="E39" s="103">
        <f>+UTAMA!G43</f>
        <v>93.17</v>
      </c>
      <c r="F39" s="94">
        <f>+UTAMA!H43</f>
        <v>0.192</v>
      </c>
      <c r="G39" s="93">
        <f>+UTAMA!I43</f>
        <v>91.98</v>
      </c>
      <c r="H39" s="94">
        <f>+UTAMA!J43</f>
        <v>3.4000000000000002E-2</v>
      </c>
      <c r="I39" s="100">
        <v>892</v>
      </c>
      <c r="K39" s="125"/>
      <c r="L39" s="125"/>
      <c r="M39" s="125"/>
      <c r="N39" s="102"/>
    </row>
    <row r="40" spans="1:14" ht="15.75" x14ac:dyDescent="0.25">
      <c r="A40" s="126">
        <f t="shared" si="0"/>
        <v>30</v>
      </c>
      <c r="B40" s="127" t="s">
        <v>58</v>
      </c>
      <c r="C40" s="93">
        <f>+UTAMA!E44</f>
        <v>189.7</v>
      </c>
      <c r="D40" s="94">
        <f>+UTAMA!F44</f>
        <v>7.9000000000000001E-2</v>
      </c>
      <c r="E40" s="103">
        <f>+UTAMA!G44</f>
        <v>187.69</v>
      </c>
      <c r="F40" s="94">
        <f>+UTAMA!H44</f>
        <v>1.7999999999999999E-2</v>
      </c>
      <c r="G40" s="93">
        <f>+UTAMA!I44</f>
        <v>188.58</v>
      </c>
      <c r="H40" s="94">
        <f>+UTAMA!J44</f>
        <v>4.2999999999999997E-2</v>
      </c>
      <c r="I40" s="100">
        <v>274</v>
      </c>
      <c r="K40" s="125"/>
      <c r="L40" s="125"/>
      <c r="M40" s="125"/>
      <c r="N40" s="102"/>
    </row>
    <row r="41" spans="1:14" ht="15.75" x14ac:dyDescent="0.25">
      <c r="A41" s="126">
        <f t="shared" si="0"/>
        <v>31</v>
      </c>
      <c r="B41" s="127" t="s">
        <v>59</v>
      </c>
      <c r="C41" s="93">
        <f>+UTAMA!E45</f>
        <v>171.19</v>
      </c>
      <c r="D41" s="94">
        <f>+UTAMA!F45</f>
        <v>0.104</v>
      </c>
      <c r="E41" s="103">
        <f>+UTAMA!G45</f>
        <v>168.41</v>
      </c>
      <c r="F41" s="94">
        <f>+UTAMA!H45</f>
        <v>0.03</v>
      </c>
      <c r="G41" s="93">
        <f>+UTAMA!I45</f>
        <v>170.08</v>
      </c>
      <c r="H41" s="94">
        <f>+UTAMA!J45</f>
        <v>7.0000000000000007E-2</v>
      </c>
      <c r="I41" s="100">
        <v>395</v>
      </c>
      <c r="K41" s="125"/>
      <c r="L41" s="125"/>
      <c r="M41" s="125"/>
      <c r="N41" s="102"/>
    </row>
    <row r="42" spans="1:14" ht="15.75" x14ac:dyDescent="0.25">
      <c r="A42" s="126">
        <f t="shared" si="0"/>
        <v>32</v>
      </c>
      <c r="B42" s="127" t="s">
        <v>60</v>
      </c>
      <c r="C42" s="93">
        <f>+UTAMA!E46</f>
        <v>142.6</v>
      </c>
      <c r="D42" s="94">
        <f>+UTAMA!F46</f>
        <v>9.8740000000000006</v>
      </c>
      <c r="E42" s="103">
        <f>+UTAMA!G46</f>
        <v>138.08000000000001</v>
      </c>
      <c r="F42" s="94">
        <f>+UTAMA!H46</f>
        <v>3.5880000000000001</v>
      </c>
      <c r="G42" s="93">
        <f>+UTAMA!I46</f>
        <v>139.74</v>
      </c>
      <c r="H42" s="94">
        <f>+UTAMA!J46</f>
        <v>5.0129999999999999</v>
      </c>
      <c r="I42" s="96">
        <v>1570</v>
      </c>
      <c r="K42" s="125"/>
      <c r="L42" s="125"/>
      <c r="M42" s="125"/>
      <c r="N42" s="102"/>
    </row>
    <row r="43" spans="1:14" ht="15.75" x14ac:dyDescent="0.25">
      <c r="A43" s="126">
        <f t="shared" si="0"/>
        <v>33</v>
      </c>
      <c r="B43" s="127" t="s">
        <v>61</v>
      </c>
      <c r="C43" s="93">
        <f>+UTAMA!E47</f>
        <v>239.5</v>
      </c>
      <c r="D43" s="94">
        <f>+UTAMA!F47</f>
        <v>2.6720000000000002</v>
      </c>
      <c r="E43" s="103">
        <f>+UTAMA!G47</f>
        <v>236.43</v>
      </c>
      <c r="F43" s="94">
        <f>+UTAMA!H47</f>
        <v>0.96699999999999997</v>
      </c>
      <c r="G43" s="93">
        <f>+UTAMA!I47</f>
        <v>238.5</v>
      </c>
      <c r="H43" s="94">
        <f>+UTAMA!J47</f>
        <v>2.194</v>
      </c>
      <c r="I43" s="96">
        <v>1353</v>
      </c>
      <c r="K43" s="125"/>
      <c r="L43" s="125"/>
      <c r="M43" s="125"/>
      <c r="N43" s="102"/>
    </row>
    <row r="44" spans="1:14" ht="15.75" x14ac:dyDescent="0.25">
      <c r="A44" s="126">
        <f t="shared" si="0"/>
        <v>34</v>
      </c>
      <c r="B44" s="127" t="s">
        <v>62</v>
      </c>
      <c r="C44" s="93">
        <f>+UTAMA!E48</f>
        <v>120.5</v>
      </c>
      <c r="D44" s="94">
        <f>+UTAMA!F48</f>
        <v>3.282</v>
      </c>
      <c r="E44" s="103">
        <f>+UTAMA!G48</f>
        <v>117.9</v>
      </c>
      <c r="F44" s="94">
        <f>+UTAMA!H48</f>
        <v>1.456</v>
      </c>
      <c r="G44" s="93">
        <f>+UTAMA!I48</f>
        <v>118.03</v>
      </c>
      <c r="H44" s="94">
        <f>+UTAMA!J48</f>
        <v>1.6679999999999999</v>
      </c>
      <c r="I44" s="100">
        <v>782</v>
      </c>
      <c r="K44" s="125"/>
      <c r="L44" s="125"/>
      <c r="M44" s="125"/>
      <c r="N44" s="102"/>
    </row>
    <row r="45" spans="1:14" ht="15.75" x14ac:dyDescent="0.25">
      <c r="A45" s="126">
        <f t="shared" si="0"/>
        <v>35</v>
      </c>
      <c r="B45" s="127" t="s">
        <v>63</v>
      </c>
      <c r="C45" s="93">
        <f>+UTAMA!E49</f>
        <v>110.56</v>
      </c>
      <c r="D45" s="94">
        <f>+UTAMA!F49</f>
        <v>2.75</v>
      </c>
      <c r="E45" s="103">
        <f>+UTAMA!G49</f>
        <v>109.27</v>
      </c>
      <c r="F45" s="94">
        <f>+UTAMA!H49</f>
        <v>1.1399999999999999</v>
      </c>
      <c r="G45" s="93">
        <f>+UTAMA!I49</f>
        <v>108.16</v>
      </c>
      <c r="H45" s="94">
        <f>+UTAMA!J49</f>
        <v>0.56999999999999995</v>
      </c>
      <c r="I45" s="100">
        <v>43</v>
      </c>
      <c r="K45" s="125"/>
      <c r="L45" s="125"/>
      <c r="M45" s="125"/>
      <c r="N45" s="102"/>
    </row>
    <row r="46" spans="1:14" ht="15.75" x14ac:dyDescent="0.25">
      <c r="A46" s="126">
        <f t="shared" si="0"/>
        <v>36</v>
      </c>
      <c r="B46" s="127" t="s">
        <v>64</v>
      </c>
      <c r="C46" s="93">
        <f>+UTAMA!E50</f>
        <v>72</v>
      </c>
      <c r="D46" s="94">
        <f>+UTAMA!F50</f>
        <v>38.036000000000001</v>
      </c>
      <c r="E46" s="103">
        <f>+UTAMA!G50</f>
        <v>60.96</v>
      </c>
      <c r="F46" s="94">
        <f>+UTAMA!H50</f>
        <v>14.58</v>
      </c>
      <c r="G46" s="93">
        <f>+UTAMA!I50</f>
        <v>65.87</v>
      </c>
      <c r="H46" s="94">
        <f>+UTAMA!J50</f>
        <v>22.72</v>
      </c>
      <c r="I46" s="96">
        <v>6485</v>
      </c>
      <c r="K46" s="125"/>
      <c r="L46" s="125"/>
      <c r="M46" s="125"/>
      <c r="N46" s="102"/>
    </row>
    <row r="47" spans="1:14" ht="15.75" x14ac:dyDescent="0.25">
      <c r="A47" s="126">
        <f t="shared" si="0"/>
        <v>37</v>
      </c>
      <c r="B47" s="127" t="s">
        <v>65</v>
      </c>
      <c r="C47" s="93">
        <f>+UTAMA!E51</f>
        <v>185</v>
      </c>
      <c r="D47" s="94">
        <f>+UTAMA!F51</f>
        <v>388.72199999999998</v>
      </c>
      <c r="E47" s="103">
        <f>+UTAMA!G51</f>
        <v>170.09</v>
      </c>
      <c r="F47" s="94">
        <f>+UTAMA!H51</f>
        <v>271.23</v>
      </c>
      <c r="G47" s="93">
        <f>+UTAMA!I51</f>
        <v>171.47</v>
      </c>
      <c r="H47" s="94">
        <f>+UTAMA!J51</f>
        <v>257.08</v>
      </c>
      <c r="I47" s="96">
        <v>31109</v>
      </c>
      <c r="K47" s="125"/>
      <c r="L47" s="125"/>
      <c r="M47" s="125"/>
      <c r="N47" s="102"/>
    </row>
    <row r="48" spans="1:14" ht="16.5" thickBot="1" x14ac:dyDescent="0.3">
      <c r="A48" s="129">
        <f t="shared" si="0"/>
        <v>38</v>
      </c>
      <c r="B48" s="130" t="s">
        <v>66</v>
      </c>
      <c r="C48" s="93">
        <f>+UTAMA!E52</f>
        <v>231</v>
      </c>
      <c r="D48" s="94">
        <f>+UTAMA!F52</f>
        <v>23.24</v>
      </c>
      <c r="E48" s="103">
        <f>+UTAMA!G52</f>
        <v>229.4</v>
      </c>
      <c r="F48" s="94">
        <f>+UTAMA!H52</f>
        <v>4.7305925999999996</v>
      </c>
      <c r="G48" s="93">
        <f>+UTAMA!I52</f>
        <v>230.51</v>
      </c>
      <c r="H48" s="94">
        <f>+UTAMA!J52</f>
        <v>10.89153297</v>
      </c>
      <c r="I48" s="104">
        <v>8400</v>
      </c>
      <c r="K48" s="125"/>
      <c r="L48" s="125"/>
      <c r="M48" s="125"/>
      <c r="N48" s="92"/>
    </row>
    <row r="49" spans="1:14" ht="16.5" thickBot="1" x14ac:dyDescent="0.3">
      <c r="A49" s="131"/>
      <c r="B49" s="121" t="s">
        <v>67</v>
      </c>
      <c r="C49" s="105"/>
      <c r="D49" s="132">
        <f>SUM(D11:D48)</f>
        <v>1737.7985979999999</v>
      </c>
      <c r="E49" s="105"/>
      <c r="F49" s="132">
        <f>SUM(F11:F48)</f>
        <v>723.9575926</v>
      </c>
      <c r="G49" s="105"/>
      <c r="H49" s="132">
        <f>SUM(H11:H48)</f>
        <v>719.26053296999987</v>
      </c>
      <c r="I49" s="133">
        <f>SUM(I11:I48)</f>
        <v>270584</v>
      </c>
      <c r="K49" s="125"/>
      <c r="L49" s="125"/>
      <c r="M49" s="125"/>
      <c r="N49" s="92"/>
    </row>
    <row r="50" spans="1:14" ht="16.5" thickBot="1" x14ac:dyDescent="0.3">
      <c r="A50" s="134" t="s">
        <v>68</v>
      </c>
      <c r="B50" s="121" t="s">
        <v>69</v>
      </c>
      <c r="C50" s="105"/>
      <c r="D50" s="132"/>
      <c r="E50" s="135"/>
      <c r="F50" s="136">
        <v>1</v>
      </c>
      <c r="G50" s="105"/>
      <c r="H50" s="136">
        <f>+H49/F49</f>
        <v>0.99351196854897084</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view="pageBreakPreview" topLeftCell="A22" zoomScaleNormal="90" zoomScaleSheetLayoutView="100" workbookViewId="0">
      <selection activeCell="A3" sqref="A3:N17"/>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82" t="s">
        <v>341</v>
      </c>
      <c r="C2" s="682"/>
      <c r="D2" s="682"/>
      <c r="E2" s="682"/>
      <c r="F2" s="682"/>
      <c r="G2" s="682"/>
      <c r="H2" s="682"/>
      <c r="I2" s="682"/>
      <c r="L2" s="203"/>
      <c r="M2" s="203"/>
      <c r="N2" s="203"/>
      <c r="O2" s="203"/>
      <c r="P2" s="203"/>
      <c r="Q2" s="203"/>
      <c r="R2" s="203"/>
      <c r="S2" s="203"/>
    </row>
    <row r="3" spans="2:19" ht="16.5" thickBot="1" x14ac:dyDescent="0.3"/>
    <row r="4" spans="2:19" ht="27" customHeight="1" thickBot="1" x14ac:dyDescent="0.3">
      <c r="B4" s="776" t="s">
        <v>1</v>
      </c>
      <c r="C4" s="777">
        <v>2014</v>
      </c>
      <c r="D4" s="777">
        <v>2015</v>
      </c>
      <c r="E4" s="778">
        <v>2016</v>
      </c>
      <c r="F4" s="779">
        <v>2017</v>
      </c>
      <c r="G4" s="779">
        <v>2018</v>
      </c>
      <c r="H4" s="823">
        <v>2019</v>
      </c>
      <c r="I4" s="780">
        <v>2020</v>
      </c>
      <c r="J4" s="781">
        <v>2021</v>
      </c>
      <c r="K4" s="782">
        <v>2022</v>
      </c>
      <c r="L4" s="783">
        <v>2023</v>
      </c>
      <c r="M4" s="784">
        <v>2024</v>
      </c>
      <c r="N4" s="795">
        <v>2025</v>
      </c>
      <c r="O4" s="205"/>
      <c r="P4" s="725"/>
      <c r="Q4" s="205"/>
      <c r="R4" s="205"/>
      <c r="S4" s="205"/>
    </row>
    <row r="5" spans="2:19" ht="21" customHeight="1" thickBot="1" x14ac:dyDescent="0.3">
      <c r="B5" s="776" t="s">
        <v>2</v>
      </c>
      <c r="C5" s="785">
        <v>1269.796</v>
      </c>
      <c r="D5" s="785">
        <v>1220.8030000000001</v>
      </c>
      <c r="E5" s="786">
        <v>650.16999999999996</v>
      </c>
      <c r="F5" s="787">
        <v>1550.17</v>
      </c>
      <c r="G5" s="787">
        <v>1337.03</v>
      </c>
      <c r="H5" s="823">
        <v>685.98</v>
      </c>
      <c r="I5" s="780">
        <v>578.73</v>
      </c>
      <c r="J5" s="792">
        <v>1335.21</v>
      </c>
      <c r="K5" s="788">
        <v>1123.8399999999999</v>
      </c>
      <c r="L5" s="789">
        <v>1202.8900000000001</v>
      </c>
      <c r="M5" s="790">
        <v>650.96</v>
      </c>
      <c r="N5" s="796">
        <v>1151.3699999999999</v>
      </c>
      <c r="O5" s="206"/>
      <c r="P5" s="206"/>
      <c r="Q5" s="206">
        <v>948.88</v>
      </c>
      <c r="R5" s="206">
        <v>1142.3599999999999</v>
      </c>
      <c r="S5" s="206"/>
    </row>
    <row r="6" spans="2:19" ht="21" customHeight="1" thickBot="1" x14ac:dyDescent="0.3">
      <c r="B6" s="776" t="s">
        <v>3</v>
      </c>
      <c r="C6" s="785">
        <v>1337.1590000000001</v>
      </c>
      <c r="D6" s="785">
        <v>1468.3579999999999</v>
      </c>
      <c r="E6" s="786">
        <v>1032.74</v>
      </c>
      <c r="F6" s="787">
        <v>1611.58</v>
      </c>
      <c r="G6" s="787">
        <v>1607.51</v>
      </c>
      <c r="H6" s="824">
        <v>965.1</v>
      </c>
      <c r="I6" s="780">
        <v>933.5</v>
      </c>
      <c r="J6" s="792">
        <v>1620.18</v>
      </c>
      <c r="K6" s="788">
        <v>1327.38</v>
      </c>
      <c r="L6" s="789">
        <v>1518.81</v>
      </c>
      <c r="M6" s="790">
        <v>989.06</v>
      </c>
      <c r="N6" s="826">
        <v>1391.45</v>
      </c>
      <c r="O6" s="206"/>
      <c r="P6" s="206"/>
      <c r="Q6" s="206">
        <v>963.3</v>
      </c>
      <c r="R6" s="206">
        <v>1151.58</v>
      </c>
      <c r="S6" s="206"/>
    </row>
    <row r="7" spans="2:19" ht="21" customHeight="1" thickBot="1" x14ac:dyDescent="0.3">
      <c r="B7" s="776" t="s">
        <v>4</v>
      </c>
      <c r="C7" s="785">
        <v>1484.335</v>
      </c>
      <c r="D7" s="785">
        <v>1612.5889999999999</v>
      </c>
      <c r="E7" s="786">
        <v>1187.53</v>
      </c>
      <c r="F7" s="787">
        <v>1573.59</v>
      </c>
      <c r="G7" s="787">
        <v>1635.05</v>
      </c>
      <c r="H7" s="825">
        <v>1280.54</v>
      </c>
      <c r="I7" s="822">
        <v>1248.96</v>
      </c>
      <c r="J7" s="792">
        <v>1609.71</v>
      </c>
      <c r="K7" s="788">
        <v>1521.12</v>
      </c>
      <c r="L7" s="789">
        <v>1610.88</v>
      </c>
      <c r="M7" s="790">
        <v>1286.27</v>
      </c>
      <c r="N7" s="796">
        <v>1562.34</v>
      </c>
      <c r="O7" s="206"/>
      <c r="P7" s="617"/>
      <c r="Q7" s="206">
        <v>1025.6099999999999</v>
      </c>
      <c r="R7" s="206">
        <v>1391.45</v>
      </c>
      <c r="S7" s="206"/>
    </row>
    <row r="8" spans="2:19" ht="21" customHeight="1" thickBot="1" x14ac:dyDescent="0.3">
      <c r="B8" s="776" t="s">
        <v>5</v>
      </c>
      <c r="C8" s="793">
        <v>1562.1959999999999</v>
      </c>
      <c r="D8" s="785">
        <v>1742.549</v>
      </c>
      <c r="E8" s="786">
        <v>1298.76</v>
      </c>
      <c r="F8" s="787">
        <v>1646.07</v>
      </c>
      <c r="G8" s="787">
        <v>1530.75</v>
      </c>
      <c r="H8" s="825">
        <v>1321.99</v>
      </c>
      <c r="I8" s="822">
        <v>1325.65</v>
      </c>
      <c r="J8" s="792">
        <v>1551.92</v>
      </c>
      <c r="K8" s="788">
        <v>1500.57</v>
      </c>
      <c r="L8" s="789">
        <v>1532.13</v>
      </c>
      <c r="M8" s="790">
        <v>1390.03</v>
      </c>
      <c r="N8" s="796">
        <v>1512.69</v>
      </c>
      <c r="O8" s="206"/>
      <c r="P8" s="206"/>
      <c r="Q8" s="207">
        <v>1133.43</v>
      </c>
      <c r="R8" s="206">
        <v>1457.6</v>
      </c>
      <c r="S8" s="206"/>
    </row>
    <row r="9" spans="2:19" ht="21" customHeight="1" thickBot="1" x14ac:dyDescent="0.3">
      <c r="B9" s="776" t="s">
        <v>6</v>
      </c>
      <c r="C9" s="785">
        <v>1452.779</v>
      </c>
      <c r="D9" s="785">
        <v>1583.836</v>
      </c>
      <c r="E9" s="786">
        <v>1273.26</v>
      </c>
      <c r="F9" s="787">
        <v>1483.57</v>
      </c>
      <c r="G9" s="787">
        <v>1234.3800000000001</v>
      </c>
      <c r="H9" s="825">
        <v>1136.71</v>
      </c>
      <c r="I9" s="822">
        <v>1372.39</v>
      </c>
      <c r="J9" s="792">
        <v>1350.16</v>
      </c>
      <c r="K9" s="788">
        <v>1620.6</v>
      </c>
      <c r="L9" s="789">
        <v>1433.76</v>
      </c>
      <c r="M9" s="790">
        <v>1099.2</v>
      </c>
      <c r="N9" s="796">
        <v>1550.79</v>
      </c>
      <c r="O9" s="206"/>
      <c r="Q9" s="206">
        <v>1151.3699999999999</v>
      </c>
      <c r="R9" s="206">
        <v>1499.51</v>
      </c>
      <c r="S9" s="206"/>
    </row>
    <row r="10" spans="2:19" ht="21" customHeight="1" thickBot="1" x14ac:dyDescent="0.3">
      <c r="B10" s="776" t="s">
        <v>7</v>
      </c>
      <c r="C10" s="785">
        <v>1294.0350000000001</v>
      </c>
      <c r="D10" s="785">
        <v>1346.6769999999999</v>
      </c>
      <c r="E10" s="786">
        <v>1336.22</v>
      </c>
      <c r="F10" s="787">
        <v>1329.73</v>
      </c>
      <c r="G10" s="787">
        <v>1079.8900000000001</v>
      </c>
      <c r="H10" s="825">
        <v>834.59</v>
      </c>
      <c r="I10" s="822">
        <v>1211.83</v>
      </c>
      <c r="J10" s="792">
        <v>1268.01</v>
      </c>
      <c r="K10" s="788">
        <v>1598</v>
      </c>
      <c r="L10" s="789">
        <v>1181.56</v>
      </c>
      <c r="M10" s="790">
        <v>864.9</v>
      </c>
      <c r="N10" s="796">
        <v>1358.45</v>
      </c>
      <c r="O10" s="206"/>
      <c r="Q10" s="206">
        <v>1240.01</v>
      </c>
      <c r="R10" s="206">
        <v>1495.2</v>
      </c>
      <c r="S10" s="206"/>
    </row>
    <row r="11" spans="2:19" ht="21" customHeight="1" thickBot="1" x14ac:dyDescent="0.3">
      <c r="B11" s="776" t="s">
        <v>8</v>
      </c>
      <c r="C11" s="785">
        <v>1227.848</v>
      </c>
      <c r="D11" s="785">
        <v>1171.5409999999999</v>
      </c>
      <c r="E11" s="786">
        <v>1300.4100000000001</v>
      </c>
      <c r="F11" s="787">
        <v>1186.18</v>
      </c>
      <c r="G11" s="787">
        <v>940.03</v>
      </c>
      <c r="H11" s="825">
        <v>660.7</v>
      </c>
      <c r="I11" s="822">
        <v>1049.52</v>
      </c>
      <c r="J11" s="792">
        <v>1176.1500000000001</v>
      </c>
      <c r="K11" s="788">
        <v>1419.43</v>
      </c>
      <c r="L11" s="789">
        <v>1056.3399999999999</v>
      </c>
      <c r="M11" s="790">
        <v>718.06</v>
      </c>
      <c r="N11" s="796">
        <v>1203.99</v>
      </c>
      <c r="O11" s="206"/>
      <c r="P11" s="623"/>
      <c r="Q11" s="727">
        <v>1558.45</v>
      </c>
      <c r="R11" s="206"/>
      <c r="S11" s="206"/>
    </row>
    <row r="12" spans="2:19" ht="21" customHeight="1" thickBot="1" x14ac:dyDescent="0.3">
      <c r="B12" s="776" t="s">
        <v>9</v>
      </c>
      <c r="C12" s="785">
        <v>1128.5830000000001</v>
      </c>
      <c r="D12" s="785">
        <v>1014.437</v>
      </c>
      <c r="E12" s="786">
        <v>1196.1300000000001</v>
      </c>
      <c r="F12" s="787">
        <v>1086.54</v>
      </c>
      <c r="G12" s="787">
        <v>806.04</v>
      </c>
      <c r="H12" s="825">
        <v>572.89</v>
      </c>
      <c r="I12" s="780">
        <v>890.19</v>
      </c>
      <c r="J12" s="792">
        <v>1026.48</v>
      </c>
      <c r="K12" s="788">
        <v>1303.8900000000001</v>
      </c>
      <c r="L12" s="789">
        <v>1007.63</v>
      </c>
      <c r="M12" s="790">
        <v>578.66</v>
      </c>
      <c r="N12" s="796">
        <v>1084.05</v>
      </c>
      <c r="O12" s="206"/>
      <c r="P12" s="206"/>
      <c r="Q12" s="206">
        <v>1554.35</v>
      </c>
      <c r="R12" s="206"/>
      <c r="S12" s="206"/>
    </row>
    <row r="13" spans="2:19" ht="21" customHeight="1" thickBot="1" x14ac:dyDescent="0.3">
      <c r="B13" s="776" t="s">
        <v>10</v>
      </c>
      <c r="C13" s="785">
        <v>894.4</v>
      </c>
      <c r="D13" s="785">
        <v>741.67</v>
      </c>
      <c r="E13" s="786">
        <v>1227.3900000000001</v>
      </c>
      <c r="F13" s="787">
        <v>952.17</v>
      </c>
      <c r="G13" s="787">
        <v>687.02</v>
      </c>
      <c r="H13" s="825">
        <v>499.63</v>
      </c>
      <c r="I13" s="791">
        <v>762.72</v>
      </c>
      <c r="J13" s="792">
        <v>899.87</v>
      </c>
      <c r="K13" s="788">
        <v>1108.81</v>
      </c>
      <c r="L13" s="789">
        <v>754.15</v>
      </c>
      <c r="M13" s="790">
        <v>538.41</v>
      </c>
      <c r="N13" s="796">
        <v>929.56</v>
      </c>
      <c r="O13" s="206"/>
      <c r="P13" s="206"/>
      <c r="Q13" s="206">
        <v>1512.69</v>
      </c>
      <c r="R13" s="206"/>
      <c r="S13" s="206"/>
    </row>
    <row r="14" spans="2:19" ht="21" customHeight="1" thickBot="1" x14ac:dyDescent="0.3">
      <c r="B14" s="776" t="s">
        <v>11</v>
      </c>
      <c r="C14" s="785">
        <v>684.84299999999996</v>
      </c>
      <c r="D14" s="785">
        <v>545.95499999999993</v>
      </c>
      <c r="E14" s="786">
        <v>1339.74</v>
      </c>
      <c r="F14" s="787">
        <v>838.66</v>
      </c>
      <c r="G14" s="787">
        <v>469.1</v>
      </c>
      <c r="H14" s="825">
        <v>442.28</v>
      </c>
      <c r="I14" s="791">
        <v>701.69</v>
      </c>
      <c r="J14" s="794">
        <v>675.59</v>
      </c>
      <c r="K14" s="788">
        <v>1117.49</v>
      </c>
      <c r="L14" s="789">
        <v>532.83000000000004</v>
      </c>
      <c r="M14" s="790">
        <v>449.64</v>
      </c>
      <c r="N14" s="796">
        <v>782.74</v>
      </c>
      <c r="O14" s="723"/>
      <c r="P14" s="206"/>
      <c r="Q14" s="206">
        <v>1462.61</v>
      </c>
      <c r="R14" s="206"/>
      <c r="S14" s="206"/>
    </row>
    <row r="15" spans="2:19" ht="21" customHeight="1" thickBot="1" x14ac:dyDescent="0.3">
      <c r="B15" s="776" t="s">
        <v>12</v>
      </c>
      <c r="C15" s="785">
        <v>616.87599999999998</v>
      </c>
      <c r="D15" s="785">
        <v>411.75</v>
      </c>
      <c r="E15" s="786">
        <v>1429.53</v>
      </c>
      <c r="F15" s="787">
        <v>888.13</v>
      </c>
      <c r="G15" s="787">
        <v>399.15</v>
      </c>
      <c r="H15" s="825">
        <v>296.16000000000003</v>
      </c>
      <c r="I15" s="791">
        <v>658.82</v>
      </c>
      <c r="J15" s="794">
        <v>832.19</v>
      </c>
      <c r="K15" s="788">
        <v>1105.02</v>
      </c>
      <c r="L15" s="789">
        <v>405.54</v>
      </c>
      <c r="M15" s="790">
        <v>558.44000000000005</v>
      </c>
      <c r="N15" s="796"/>
      <c r="O15" s="724"/>
      <c r="P15" s="680"/>
      <c r="Q15" s="206">
        <v>1480.3</v>
      </c>
      <c r="R15" s="206"/>
      <c r="S15" s="206"/>
    </row>
    <row r="16" spans="2:19" ht="21" customHeight="1" thickBot="1" x14ac:dyDescent="0.3">
      <c r="B16" s="776" t="s">
        <v>13</v>
      </c>
      <c r="C16" s="785">
        <v>1019.625</v>
      </c>
      <c r="D16" s="785">
        <v>567.84</v>
      </c>
      <c r="E16" s="786">
        <v>1359.37</v>
      </c>
      <c r="F16" s="787">
        <v>1107.76</v>
      </c>
      <c r="G16" s="787">
        <v>474.56</v>
      </c>
      <c r="H16" s="825">
        <v>318.35000000000002</v>
      </c>
      <c r="I16" s="780">
        <v>854.68</v>
      </c>
      <c r="J16" s="794">
        <v>966.49</v>
      </c>
      <c r="K16" s="788">
        <v>1060.403</v>
      </c>
      <c r="L16" s="789">
        <v>375.35</v>
      </c>
      <c r="M16" s="790">
        <v>867.09</v>
      </c>
      <c r="N16" s="796"/>
      <c r="O16" s="723"/>
      <c r="P16" s="206"/>
      <c r="Q16" s="206">
        <v>1545.72</v>
      </c>
      <c r="R16" s="206"/>
      <c r="S16" s="206"/>
    </row>
    <row r="17" spans="10:17" x14ac:dyDescent="0.25">
      <c r="Q17" s="204">
        <v>1571.8</v>
      </c>
    </row>
    <row r="18" spans="10:17" x14ac:dyDescent="0.25">
      <c r="J18" s="204" t="s">
        <v>349</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22"/>
      <c r="Q26" s="204">
        <v>1006.99</v>
      </c>
    </row>
    <row r="27" spans="10:17" x14ac:dyDescent="0.25">
      <c r="Q27" s="204">
        <v>782.74</v>
      </c>
    </row>
    <row r="28" spans="10:17" x14ac:dyDescent="0.25">
      <c r="Q28" s="204" t="s">
        <v>68</v>
      </c>
    </row>
    <row r="32" spans="10:17" x14ac:dyDescent="0.25">
      <c r="P32" s="722"/>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6" t="s">
        <v>325</v>
      </c>
      <c r="C1" s="976"/>
      <c r="D1" s="976"/>
      <c r="E1" s="976"/>
      <c r="F1" s="976"/>
      <c r="G1" s="976"/>
      <c r="H1" s="976"/>
      <c r="I1" s="976"/>
      <c r="J1" s="976"/>
      <c r="K1" s="976"/>
      <c r="L1" s="976"/>
      <c r="M1" s="976"/>
      <c r="N1" s="976"/>
      <c r="O1" s="976"/>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8" t="s">
        <v>303</v>
      </c>
      <c r="D15" s="398"/>
      <c r="E15" s="398"/>
      <c r="F15" s="398"/>
      <c r="G15" s="398"/>
      <c r="H15" s="398"/>
      <c r="I15" s="398"/>
      <c r="J15" s="398"/>
      <c r="K15" s="398"/>
      <c r="L15" s="398"/>
      <c r="M15" s="398"/>
      <c r="N15" s="398"/>
      <c r="O15" s="398"/>
    </row>
    <row r="16" spans="2:15" ht="24.75" customHeight="1" x14ac:dyDescent="0.2">
      <c r="B16" s="397">
        <f t="shared" si="0"/>
        <v>13</v>
      </c>
      <c r="C16" s="648" t="s">
        <v>304</v>
      </c>
      <c r="D16" s="398"/>
      <c r="E16" s="398"/>
      <c r="F16" s="398"/>
      <c r="G16" s="398"/>
      <c r="H16" s="398"/>
      <c r="I16" s="398"/>
      <c r="J16" s="398"/>
      <c r="K16" s="398"/>
      <c r="L16" s="398"/>
      <c r="M16" s="398"/>
      <c r="N16" s="398"/>
      <c r="O16" s="398"/>
    </row>
    <row r="17" spans="2:15" ht="24.75" customHeight="1" x14ac:dyDescent="0.2">
      <c r="B17" s="397">
        <f t="shared" si="0"/>
        <v>14</v>
      </c>
      <c r="C17" s="648" t="s">
        <v>305</v>
      </c>
      <c r="D17" s="398"/>
      <c r="E17" s="398"/>
      <c r="F17" s="398"/>
      <c r="G17" s="398"/>
      <c r="H17" s="398"/>
      <c r="I17" s="398"/>
      <c r="J17" s="398"/>
      <c r="K17" s="398"/>
      <c r="L17" s="398"/>
      <c r="M17" s="398"/>
      <c r="N17" s="398"/>
      <c r="O17" s="398"/>
    </row>
    <row r="18" spans="2:15" ht="24" customHeight="1" x14ac:dyDescent="0.2">
      <c r="B18" s="397">
        <f t="shared" si="0"/>
        <v>15</v>
      </c>
      <c r="C18" s="648" t="s">
        <v>306</v>
      </c>
      <c r="D18" s="398"/>
      <c r="E18" s="398"/>
      <c r="F18" s="398"/>
      <c r="G18" s="398"/>
      <c r="H18" s="398"/>
      <c r="I18" s="398"/>
      <c r="J18" s="398"/>
      <c r="K18" s="398"/>
      <c r="L18" s="398"/>
      <c r="M18" s="398"/>
      <c r="N18" s="398"/>
      <c r="O18" s="398"/>
    </row>
    <row r="19" spans="2:15" ht="26.25" customHeight="1" x14ac:dyDescent="0.2">
      <c r="B19" s="397">
        <f t="shared" si="0"/>
        <v>16</v>
      </c>
      <c r="C19" s="648" t="s">
        <v>307</v>
      </c>
      <c r="D19" s="398"/>
      <c r="E19" s="398"/>
      <c r="F19" s="398"/>
      <c r="G19" s="398"/>
      <c r="H19" s="398"/>
      <c r="I19" s="398"/>
      <c r="J19" s="398"/>
      <c r="K19" s="398"/>
      <c r="L19" s="398"/>
      <c r="M19" s="398"/>
      <c r="N19" s="398"/>
      <c r="O19" s="398"/>
    </row>
    <row r="20" spans="2:15" ht="24" customHeight="1" x14ac:dyDescent="0.2">
      <c r="B20" s="397">
        <f t="shared" si="0"/>
        <v>17</v>
      </c>
      <c r="C20" s="648" t="s">
        <v>308</v>
      </c>
      <c r="D20" s="398"/>
      <c r="E20" s="398"/>
      <c r="F20" s="398"/>
      <c r="G20" s="398"/>
      <c r="H20" s="398"/>
      <c r="I20" s="398"/>
      <c r="J20" s="398"/>
      <c r="K20" s="398"/>
      <c r="L20" s="398"/>
      <c r="M20" s="398"/>
      <c r="N20" s="398"/>
      <c r="O20" s="398"/>
    </row>
    <row r="21" spans="2:15" ht="24" customHeight="1" x14ac:dyDescent="0.2">
      <c r="B21" s="397">
        <f t="shared" si="0"/>
        <v>18</v>
      </c>
      <c r="C21" s="648" t="s">
        <v>309</v>
      </c>
      <c r="D21" s="398"/>
      <c r="E21" s="398"/>
      <c r="F21" s="398"/>
      <c r="G21" s="398"/>
      <c r="H21" s="398"/>
      <c r="I21" s="398"/>
      <c r="J21" s="398"/>
      <c r="K21" s="398"/>
      <c r="L21" s="398"/>
      <c r="M21" s="398"/>
      <c r="N21" s="398"/>
      <c r="O21" s="398"/>
    </row>
    <row r="22" spans="2:15" ht="24" customHeight="1" x14ac:dyDescent="0.2">
      <c r="B22" s="397">
        <f t="shared" si="0"/>
        <v>19</v>
      </c>
      <c r="C22" s="648" t="s">
        <v>310</v>
      </c>
      <c r="D22" s="398"/>
      <c r="E22" s="398"/>
      <c r="F22" s="398"/>
      <c r="G22" s="398"/>
      <c r="H22" s="398"/>
      <c r="I22" s="398"/>
      <c r="J22" s="398"/>
      <c r="K22" s="398"/>
      <c r="L22" s="398"/>
      <c r="M22" s="398"/>
      <c r="N22" s="398"/>
      <c r="O22" s="398"/>
    </row>
    <row r="23" spans="2:15" ht="25.5" customHeight="1" x14ac:dyDescent="0.2">
      <c r="B23" s="397">
        <f t="shared" si="0"/>
        <v>20</v>
      </c>
      <c r="C23" s="648" t="s">
        <v>311</v>
      </c>
      <c r="D23" s="398"/>
      <c r="E23" s="398"/>
      <c r="F23" s="398"/>
      <c r="G23" s="398"/>
      <c r="H23" s="398"/>
      <c r="I23" s="398"/>
      <c r="J23" s="398"/>
      <c r="K23" s="398"/>
      <c r="L23" s="398"/>
      <c r="M23" s="398"/>
      <c r="N23" s="398"/>
      <c r="O23" s="398"/>
    </row>
    <row r="24" spans="2:15" ht="24.75" customHeight="1" x14ac:dyDescent="0.2">
      <c r="B24" s="397">
        <f t="shared" si="0"/>
        <v>21</v>
      </c>
      <c r="C24" s="648" t="s">
        <v>312</v>
      </c>
      <c r="D24" s="398"/>
      <c r="E24" s="398"/>
      <c r="F24" s="398"/>
      <c r="G24" s="398"/>
      <c r="H24" s="398"/>
      <c r="I24" s="398"/>
      <c r="J24" s="398"/>
      <c r="K24" s="398"/>
      <c r="L24" s="398"/>
      <c r="M24" s="398"/>
      <c r="N24" s="398"/>
      <c r="O24" s="398"/>
    </row>
    <row r="25" spans="2:15" ht="25.5" customHeight="1" x14ac:dyDescent="0.2">
      <c r="B25" s="397">
        <f t="shared" si="0"/>
        <v>22</v>
      </c>
      <c r="C25" s="648" t="s">
        <v>313</v>
      </c>
      <c r="D25" s="398"/>
      <c r="E25" s="398"/>
      <c r="F25" s="398"/>
      <c r="G25" s="398"/>
      <c r="H25" s="398"/>
      <c r="I25" s="398"/>
      <c r="J25" s="398"/>
      <c r="K25" s="398"/>
      <c r="L25" s="398"/>
      <c r="M25" s="398"/>
      <c r="N25" s="398"/>
      <c r="O25" s="398"/>
    </row>
    <row r="26" spans="2:15" ht="25.5" customHeight="1" x14ac:dyDescent="0.2">
      <c r="B26" s="397">
        <f t="shared" si="0"/>
        <v>23</v>
      </c>
      <c r="C26" s="648" t="s">
        <v>314</v>
      </c>
      <c r="D26" s="398"/>
      <c r="E26" s="398"/>
      <c r="F26" s="398"/>
      <c r="G26" s="398"/>
      <c r="H26" s="398"/>
      <c r="I26" s="398"/>
      <c r="J26" s="398"/>
      <c r="K26" s="398"/>
      <c r="L26" s="398"/>
      <c r="M26" s="398"/>
      <c r="N26" s="398"/>
      <c r="O26" s="398"/>
    </row>
    <row r="27" spans="2:15" ht="25.5" customHeight="1" x14ac:dyDescent="0.2">
      <c r="B27" s="397">
        <f t="shared" si="0"/>
        <v>24</v>
      </c>
      <c r="C27" s="648" t="s">
        <v>315</v>
      </c>
      <c r="D27" s="398"/>
      <c r="E27" s="398"/>
      <c r="F27" s="398"/>
      <c r="G27" s="398"/>
      <c r="H27" s="398"/>
      <c r="I27" s="398"/>
      <c r="J27" s="398"/>
      <c r="K27" s="398"/>
      <c r="L27" s="398"/>
      <c r="M27" s="398"/>
      <c r="N27" s="398"/>
      <c r="O27" s="398"/>
    </row>
    <row r="28" spans="2:15" ht="24.75" customHeight="1" x14ac:dyDescent="0.2">
      <c r="B28" s="397">
        <f t="shared" si="0"/>
        <v>25</v>
      </c>
      <c r="C28" s="648" t="s">
        <v>316</v>
      </c>
      <c r="D28" s="398"/>
      <c r="E28" s="398"/>
      <c r="F28" s="398"/>
      <c r="G28" s="398"/>
      <c r="H28" s="398"/>
      <c r="I28" s="398"/>
      <c r="J28" s="398"/>
      <c r="K28" s="398"/>
      <c r="L28" s="398"/>
      <c r="M28" s="398"/>
      <c r="N28" s="398"/>
      <c r="O28" s="398"/>
    </row>
    <row r="29" spans="2:15" ht="24.75" customHeight="1" x14ac:dyDescent="0.2">
      <c r="B29" s="397">
        <f t="shared" si="0"/>
        <v>26</v>
      </c>
      <c r="C29" s="648" t="s">
        <v>317</v>
      </c>
      <c r="D29" s="398"/>
      <c r="E29" s="398"/>
      <c r="F29" s="398"/>
      <c r="G29" s="398"/>
      <c r="H29" s="398"/>
      <c r="I29" s="398"/>
      <c r="J29" s="398"/>
      <c r="K29" s="398"/>
      <c r="L29" s="398"/>
      <c r="M29" s="398"/>
      <c r="N29" s="398"/>
      <c r="O29" s="398"/>
    </row>
    <row r="30" spans="2:15" ht="26.25" customHeight="1" x14ac:dyDescent="0.2">
      <c r="B30" s="397">
        <f t="shared" si="0"/>
        <v>27</v>
      </c>
      <c r="C30" s="648" t="s">
        <v>318</v>
      </c>
      <c r="D30" s="398"/>
      <c r="E30" s="398"/>
      <c r="F30" s="398"/>
      <c r="G30" s="398"/>
      <c r="H30" s="398"/>
      <c r="I30" s="398"/>
      <c r="J30" s="398"/>
      <c r="K30" s="398"/>
      <c r="L30" s="398"/>
      <c r="M30" s="398"/>
      <c r="N30" s="398"/>
      <c r="O30" s="398"/>
    </row>
    <row r="31" spans="2:15" ht="25.5" customHeight="1" x14ac:dyDescent="0.2">
      <c r="B31" s="397">
        <f t="shared" si="0"/>
        <v>28</v>
      </c>
      <c r="C31" s="648" t="s">
        <v>319</v>
      </c>
      <c r="D31" s="398"/>
      <c r="E31" s="398"/>
      <c r="F31" s="398"/>
      <c r="G31" s="398"/>
      <c r="H31" s="398"/>
      <c r="I31" s="398"/>
      <c r="J31" s="398"/>
      <c r="K31" s="398"/>
      <c r="L31" s="398"/>
      <c r="M31" s="398"/>
      <c r="N31" s="398"/>
      <c r="O31" s="398"/>
    </row>
    <row r="32" spans="2:15" ht="24.75" customHeight="1" x14ac:dyDescent="0.2">
      <c r="B32" s="397">
        <f t="shared" si="0"/>
        <v>29</v>
      </c>
      <c r="C32" s="648" t="s">
        <v>320</v>
      </c>
      <c r="D32" s="398"/>
      <c r="E32" s="398"/>
      <c r="F32" s="398"/>
      <c r="G32" s="398"/>
      <c r="H32" s="398"/>
      <c r="I32" s="398"/>
      <c r="J32" s="398"/>
      <c r="K32" s="398"/>
      <c r="L32" s="398"/>
      <c r="M32" s="398"/>
      <c r="N32" s="398"/>
      <c r="O32" s="398"/>
    </row>
    <row r="33" spans="2:15" ht="25.5" customHeight="1" x14ac:dyDescent="0.2">
      <c r="B33" s="397">
        <f t="shared" si="0"/>
        <v>30</v>
      </c>
      <c r="C33" s="648" t="s">
        <v>321</v>
      </c>
      <c r="D33" s="398"/>
      <c r="E33" s="398"/>
      <c r="F33" s="398"/>
      <c r="G33" s="398"/>
      <c r="H33" s="398"/>
      <c r="I33" s="398"/>
      <c r="J33" s="398"/>
      <c r="K33" s="398"/>
      <c r="L33" s="398"/>
      <c r="M33" s="398"/>
      <c r="N33" s="398"/>
      <c r="O33" s="398"/>
    </row>
    <row r="34" spans="2:15" ht="24.75" customHeight="1" x14ac:dyDescent="0.2">
      <c r="B34" s="397">
        <f t="shared" si="0"/>
        <v>31</v>
      </c>
      <c r="C34" s="648" t="s">
        <v>322</v>
      </c>
      <c r="D34" s="398"/>
      <c r="E34" s="398"/>
      <c r="F34" s="398"/>
      <c r="G34" s="398"/>
      <c r="H34" s="398"/>
      <c r="I34" s="398"/>
      <c r="J34" s="398"/>
      <c r="K34" s="398"/>
      <c r="L34" s="398"/>
      <c r="M34" s="398"/>
      <c r="N34" s="398"/>
      <c r="O34" s="398"/>
    </row>
    <row r="35" spans="2:15" ht="26.25" customHeight="1" x14ac:dyDescent="0.2">
      <c r="B35" s="397">
        <f t="shared" si="0"/>
        <v>32</v>
      </c>
      <c r="C35" s="648"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904" t="s">
        <v>281</v>
      </c>
      <c r="C2" s="904"/>
      <c r="D2" s="904"/>
      <c r="E2" s="904"/>
      <c r="F2" s="904"/>
      <c r="G2" s="904"/>
      <c r="H2" s="904"/>
      <c r="I2" s="904"/>
      <c r="J2" s="904"/>
      <c r="K2" s="904"/>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903" t="s">
        <v>280</v>
      </c>
      <c r="C2" s="903"/>
      <c r="D2" s="903"/>
      <c r="E2" s="903"/>
      <c r="F2" s="903"/>
      <c r="G2" s="903"/>
      <c r="H2" s="903"/>
      <c r="I2" s="903"/>
      <c r="J2" s="903"/>
      <c r="K2" s="903"/>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904" t="s">
        <v>282</v>
      </c>
      <c r="C2" s="904"/>
      <c r="D2" s="904"/>
      <c r="E2" s="904"/>
      <c r="F2" s="904"/>
      <c r="G2" s="904"/>
      <c r="H2" s="904"/>
      <c r="I2" s="904"/>
      <c r="J2" s="904"/>
      <c r="K2" s="904"/>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4" t="s">
        <v>286</v>
      </c>
      <c r="C2" s="904"/>
      <c r="D2" s="904"/>
      <c r="E2" s="904"/>
      <c r="F2" s="904"/>
      <c r="G2" s="904"/>
      <c r="H2" s="904"/>
      <c r="I2" s="904"/>
      <c r="J2" s="904"/>
      <c r="K2" s="904"/>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43" zoomScale="70" zoomScaleNormal="70" workbookViewId="0">
      <selection activeCell="A45" sqref="A45:L60"/>
    </sheetView>
  </sheetViews>
  <sheetFormatPr defaultColWidth="9.140625" defaultRowHeight="27" customHeight="1" x14ac:dyDescent="0.2"/>
  <cols>
    <col min="1" max="1" width="1.85546875" style="179" customWidth="1"/>
    <col min="2" max="2" width="5" style="179" customWidth="1"/>
    <col min="3" max="3" width="18.42578125" style="179" customWidth="1"/>
    <col min="4" max="4" width="16.7109375" style="179" customWidth="1"/>
    <col min="5" max="5" width="12.7109375" style="179" customWidth="1"/>
    <col min="6" max="6" width="14.28515625" style="179" customWidth="1"/>
    <col min="7" max="7" width="16.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21"/>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16" t="s">
        <v>270</v>
      </c>
      <c r="C2" s="916"/>
      <c r="D2" s="916"/>
      <c r="E2" s="916"/>
      <c r="F2" s="916"/>
      <c r="G2" s="916"/>
      <c r="H2" s="916"/>
      <c r="I2" s="916"/>
      <c r="J2" s="916"/>
      <c r="K2" s="916"/>
      <c r="L2" s="916"/>
      <c r="N2" s="944" t="s">
        <v>277</v>
      </c>
      <c r="O2" s="945"/>
      <c r="P2" s="945"/>
      <c r="Q2" s="945"/>
      <c r="R2" s="945"/>
      <c r="S2" s="945"/>
      <c r="T2" s="945"/>
      <c r="U2" s="945"/>
      <c r="V2" s="945"/>
      <c r="W2" s="945"/>
      <c r="X2" s="945"/>
      <c r="Y2" s="945"/>
      <c r="Z2" s="946"/>
      <c r="AB2" s="901" t="s">
        <v>288</v>
      </c>
      <c r="AC2" s="901"/>
      <c r="AD2" s="901"/>
      <c r="AE2" s="901"/>
      <c r="AF2" s="901"/>
      <c r="AG2" s="901"/>
      <c r="AH2" s="901"/>
      <c r="AI2" s="901"/>
      <c r="AJ2" s="901"/>
      <c r="AK2" s="901"/>
      <c r="AL2" s="901"/>
      <c r="AM2" s="901"/>
      <c r="AN2" s="901"/>
      <c r="AO2"/>
      <c r="AP2"/>
      <c r="AQ2" s="934"/>
      <c r="AR2" s="934"/>
      <c r="AS2" s="934"/>
      <c r="AT2"/>
      <c r="AU2"/>
      <c r="AV2"/>
      <c r="AW2"/>
      <c r="AX2"/>
      <c r="AY2"/>
      <c r="AZ2"/>
      <c r="BA2"/>
      <c r="BB2"/>
      <c r="BC2"/>
      <c r="BD2"/>
      <c r="BE2"/>
    </row>
    <row r="3" spans="2:57" ht="17.25" customHeight="1" x14ac:dyDescent="0.3">
      <c r="B3" s="916"/>
      <c r="C3" s="916"/>
      <c r="D3" s="916"/>
      <c r="E3" s="916"/>
      <c r="F3" s="916"/>
      <c r="G3" s="916"/>
      <c r="H3" s="916"/>
      <c r="I3" s="916"/>
      <c r="J3" s="916"/>
      <c r="K3" s="916"/>
      <c r="L3" s="916"/>
      <c r="N3" s="941" t="s">
        <v>207</v>
      </c>
      <c r="O3" s="942"/>
      <c r="P3" s="942"/>
      <c r="Q3" s="942"/>
      <c r="R3" s="942"/>
      <c r="S3" s="942"/>
      <c r="T3" s="942"/>
      <c r="U3" s="942"/>
      <c r="V3" s="942"/>
      <c r="W3" s="942"/>
      <c r="X3" s="942"/>
      <c r="Y3" s="942"/>
      <c r="Z3" s="943"/>
      <c r="AB3" s="901" t="s">
        <v>343</v>
      </c>
      <c r="AC3" s="901"/>
      <c r="AD3" s="901"/>
      <c r="AE3" s="901"/>
      <c r="AF3" s="901"/>
      <c r="AG3" s="901"/>
      <c r="AH3" s="901"/>
      <c r="AI3" s="901"/>
      <c r="AJ3" s="901"/>
      <c r="AK3" s="901"/>
      <c r="AL3" s="901"/>
      <c r="AM3" s="901"/>
      <c r="AN3" s="901"/>
      <c r="AO3"/>
      <c r="AP3"/>
      <c r="AQ3"/>
      <c r="AR3"/>
      <c r="AS3"/>
      <c r="AT3"/>
      <c r="AU3"/>
      <c r="AV3"/>
      <c r="AW3"/>
      <c r="AX3"/>
      <c r="AY3"/>
      <c r="AZ3"/>
      <c r="BA3"/>
      <c r="BB3"/>
      <c r="BC3"/>
      <c r="BD3"/>
      <c r="BE3"/>
    </row>
    <row r="4" spans="2:57" ht="22.5" customHeight="1" thickBot="1" x14ac:dyDescent="0.25">
      <c r="B4" s="915" t="s">
        <v>348</v>
      </c>
      <c r="C4" s="915"/>
      <c r="D4" s="915"/>
      <c r="E4" s="915"/>
      <c r="F4" s="915"/>
      <c r="G4" s="915"/>
      <c r="H4" s="915"/>
      <c r="I4" s="915"/>
      <c r="J4" s="915"/>
      <c r="K4" s="915"/>
      <c r="L4" s="915"/>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47" t="s">
        <v>131</v>
      </c>
      <c r="O5" s="913" t="s">
        <v>132</v>
      </c>
      <c r="P5" s="913" t="s">
        <v>133</v>
      </c>
      <c r="Q5" s="913" t="s">
        <v>134</v>
      </c>
      <c r="R5" s="913" t="s">
        <v>135</v>
      </c>
      <c r="S5" s="913" t="s">
        <v>117</v>
      </c>
      <c r="T5" s="913" t="s">
        <v>136</v>
      </c>
      <c r="U5" s="913" t="s">
        <v>137</v>
      </c>
      <c r="V5" s="913" t="s">
        <v>138</v>
      </c>
      <c r="W5" s="913" t="s">
        <v>139</v>
      </c>
      <c r="X5" s="913" t="s">
        <v>140</v>
      </c>
      <c r="Y5" s="913" t="s">
        <v>141</v>
      </c>
      <c r="Z5" s="949" t="s">
        <v>142</v>
      </c>
      <c r="AB5" s="908" t="s">
        <v>131</v>
      </c>
      <c r="AC5" s="939" t="s">
        <v>132</v>
      </c>
      <c r="AD5" s="935" t="s">
        <v>133</v>
      </c>
      <c r="AE5" s="935" t="s">
        <v>134</v>
      </c>
      <c r="AF5" s="935" t="s">
        <v>135</v>
      </c>
      <c r="AG5" s="935" t="s">
        <v>117</v>
      </c>
      <c r="AH5" s="935" t="s">
        <v>136</v>
      </c>
      <c r="AI5" s="935" t="s">
        <v>137</v>
      </c>
      <c r="AJ5" s="935" t="s">
        <v>138</v>
      </c>
      <c r="AK5" s="935" t="s">
        <v>139</v>
      </c>
      <c r="AL5" s="935" t="s">
        <v>140</v>
      </c>
      <c r="AM5" s="935" t="s">
        <v>141</v>
      </c>
      <c r="AN5" s="937" t="s">
        <v>142</v>
      </c>
      <c r="AO5" s="411"/>
      <c r="AP5"/>
      <c r="AQ5"/>
      <c r="AR5"/>
      <c r="AS5"/>
      <c r="AT5"/>
      <c r="AU5"/>
      <c r="AV5"/>
      <c r="AW5"/>
      <c r="AX5"/>
      <c r="AY5"/>
      <c r="AZ5"/>
      <c r="BA5"/>
      <c r="BB5"/>
      <c r="BC5"/>
      <c r="BD5"/>
      <c r="BE5"/>
    </row>
    <row r="6" spans="2:57" ht="27" customHeight="1" thickBot="1" x14ac:dyDescent="0.25">
      <c r="B6" s="283"/>
      <c r="C6" s="402"/>
      <c r="D6" s="402"/>
      <c r="E6" s="402"/>
      <c r="F6" s="485">
        <v>20</v>
      </c>
      <c r="G6" s="531" t="s">
        <v>253</v>
      </c>
      <c r="H6" s="485">
        <v>2025</v>
      </c>
      <c r="I6" s="402"/>
      <c r="J6" s="402"/>
      <c r="K6" s="402"/>
      <c r="L6" s="403"/>
      <c r="N6" s="948"/>
      <c r="O6" s="914"/>
      <c r="P6" s="914"/>
      <c r="Q6" s="914"/>
      <c r="R6" s="914"/>
      <c r="S6" s="914"/>
      <c r="T6" s="914"/>
      <c r="U6" s="914"/>
      <c r="V6" s="914"/>
      <c r="W6" s="914"/>
      <c r="X6" s="914"/>
      <c r="Y6" s="914"/>
      <c r="Z6" s="950"/>
      <c r="AB6" s="909"/>
      <c r="AC6" s="940"/>
      <c r="AD6" s="936"/>
      <c r="AE6" s="936"/>
      <c r="AF6" s="936"/>
      <c r="AG6" s="936"/>
      <c r="AH6" s="936"/>
      <c r="AI6" s="936"/>
      <c r="AJ6" s="936"/>
      <c r="AK6" s="936"/>
      <c r="AL6" s="936"/>
      <c r="AM6" s="936"/>
      <c r="AN6" s="938"/>
      <c r="AO6" s="411"/>
      <c r="AP6"/>
      <c r="AQ6"/>
      <c r="AR6"/>
      <c r="AS6"/>
      <c r="AT6"/>
      <c r="AU6"/>
      <c r="AV6"/>
      <c r="AW6"/>
      <c r="AX6"/>
      <c r="AY6"/>
      <c r="AZ6"/>
      <c r="BA6"/>
      <c r="BB6"/>
      <c r="BC6"/>
      <c r="BD6"/>
      <c r="BE6"/>
    </row>
    <row r="7" spans="2:57" ht="27" customHeight="1" thickBot="1" x14ac:dyDescent="0.25">
      <c r="B7" s="920" t="s">
        <v>18</v>
      </c>
      <c r="C7" s="926" t="s">
        <v>269</v>
      </c>
      <c r="D7" s="923" t="s">
        <v>73</v>
      </c>
      <c r="E7" s="929" t="s">
        <v>20</v>
      </c>
      <c r="F7" s="930"/>
      <c r="G7" s="929" t="s">
        <v>94</v>
      </c>
      <c r="H7" s="930"/>
      <c r="I7" s="929" t="s">
        <v>22</v>
      </c>
      <c r="J7" s="930"/>
      <c r="K7" s="931" t="s">
        <v>189</v>
      </c>
      <c r="L7" s="917"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7">
        <v>1</v>
      </c>
      <c r="AC7" s="688">
        <v>960.95</v>
      </c>
      <c r="AD7" s="689">
        <v>1158.02</v>
      </c>
      <c r="AE7" s="689">
        <v>1450.21</v>
      </c>
      <c r="AF7" s="689">
        <v>1560.62</v>
      </c>
      <c r="AG7" s="689">
        <v>1481.81</v>
      </c>
      <c r="AH7" s="689">
        <v>1550.57</v>
      </c>
      <c r="AI7" s="689">
        <v>1350.16</v>
      </c>
      <c r="AJ7" s="689">
        <v>1181.1959999999997</v>
      </c>
      <c r="AK7" s="689">
        <v>1084.05</v>
      </c>
      <c r="AL7" s="689">
        <v>930.41</v>
      </c>
      <c r="AM7" s="689"/>
      <c r="AN7" s="690"/>
      <c r="AO7" s="411"/>
      <c r="AP7"/>
      <c r="AQ7"/>
      <c r="AR7"/>
      <c r="AS7"/>
      <c r="AT7"/>
      <c r="AU7"/>
      <c r="AV7"/>
      <c r="AW7"/>
      <c r="AX7"/>
      <c r="AY7"/>
      <c r="AZ7"/>
      <c r="BA7"/>
      <c r="BB7"/>
      <c r="BC7"/>
      <c r="BD7"/>
      <c r="BE7"/>
    </row>
    <row r="8" spans="2:57" ht="27" customHeight="1" thickBot="1" x14ac:dyDescent="0.25">
      <c r="B8" s="921"/>
      <c r="C8" s="927"/>
      <c r="D8" s="924"/>
      <c r="E8" s="603" t="s">
        <v>24</v>
      </c>
      <c r="F8" s="603" t="s">
        <v>25</v>
      </c>
      <c r="G8" s="604" t="s">
        <v>24</v>
      </c>
      <c r="H8" s="603" t="s">
        <v>25</v>
      </c>
      <c r="I8" s="604" t="s">
        <v>24</v>
      </c>
      <c r="J8" s="603" t="s">
        <v>25</v>
      </c>
      <c r="K8" s="932"/>
      <c r="L8" s="918"/>
      <c r="M8" s="720"/>
      <c r="N8" s="190">
        <v>2</v>
      </c>
      <c r="O8" s="363">
        <v>557.51</v>
      </c>
      <c r="P8" s="360">
        <v>693.59</v>
      </c>
      <c r="Q8" s="360">
        <v>1042.53</v>
      </c>
      <c r="R8" s="197">
        <v>1218.92</v>
      </c>
      <c r="S8" s="360">
        <v>1290.55</v>
      </c>
      <c r="T8" s="360">
        <v>1289.7</v>
      </c>
      <c r="U8" s="197">
        <v>0</v>
      </c>
      <c r="V8" s="197">
        <v>0</v>
      </c>
      <c r="W8" s="197">
        <v>0</v>
      </c>
      <c r="X8" s="197">
        <v>0</v>
      </c>
      <c r="Y8" s="197">
        <v>0</v>
      </c>
      <c r="Z8" s="198">
        <v>0</v>
      </c>
      <c r="AB8" s="691">
        <v>2</v>
      </c>
      <c r="AC8" s="688">
        <v>936.14</v>
      </c>
      <c r="AD8" s="689">
        <v>1142.45</v>
      </c>
      <c r="AE8" s="689">
        <v>1383.07</v>
      </c>
      <c r="AF8" s="689">
        <v>1557.26</v>
      </c>
      <c r="AG8" s="689">
        <v>1503.38</v>
      </c>
      <c r="AH8" s="689">
        <v>1550.79</v>
      </c>
      <c r="AI8" s="689">
        <v>1342.57</v>
      </c>
      <c r="AJ8" s="689">
        <v>1175.9169999999999</v>
      </c>
      <c r="AK8" s="689">
        <v>1080.02</v>
      </c>
      <c r="AL8" s="689">
        <v>927.53</v>
      </c>
      <c r="AM8" s="689"/>
      <c r="AN8" s="690"/>
      <c r="AO8" s="411"/>
      <c r="AP8"/>
      <c r="AQ8"/>
      <c r="AR8"/>
      <c r="AS8"/>
      <c r="AT8"/>
      <c r="AU8"/>
      <c r="AV8"/>
      <c r="AW8"/>
      <c r="AX8"/>
      <c r="AY8"/>
      <c r="AZ8"/>
      <c r="BA8"/>
      <c r="BB8"/>
      <c r="BC8"/>
      <c r="BD8"/>
      <c r="BE8"/>
    </row>
    <row r="9" spans="2:57" ht="27" customHeight="1" thickBot="1" x14ac:dyDescent="0.25">
      <c r="B9" s="922"/>
      <c r="C9" s="928"/>
      <c r="D9" s="925"/>
      <c r="E9" s="605" t="s">
        <v>26</v>
      </c>
      <c r="F9" s="605" t="s">
        <v>287</v>
      </c>
      <c r="G9" s="606" t="s">
        <v>26</v>
      </c>
      <c r="H9" s="605" t="s">
        <v>287</v>
      </c>
      <c r="I9" s="606" t="s">
        <v>26</v>
      </c>
      <c r="J9" s="605" t="s">
        <v>287</v>
      </c>
      <c r="K9" s="933"/>
      <c r="L9" s="919"/>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91">
        <v>3</v>
      </c>
      <c r="AC9" s="688">
        <v>934.26</v>
      </c>
      <c r="AD9" s="689">
        <v>1151.3699999999999</v>
      </c>
      <c r="AE9" s="689">
        <v>1391.45</v>
      </c>
      <c r="AF9" s="689">
        <v>1556.55</v>
      </c>
      <c r="AG9" s="689">
        <v>1477.55</v>
      </c>
      <c r="AH9" s="689">
        <v>1541.4</v>
      </c>
      <c r="AI9" s="689">
        <v>1333.16</v>
      </c>
      <c r="AJ9" s="689">
        <v>1187.1553711099998</v>
      </c>
      <c r="AK9" s="689">
        <v>1057.49</v>
      </c>
      <c r="AL9" s="689">
        <v>922.8</v>
      </c>
      <c r="AM9" s="689"/>
      <c r="AN9" s="690"/>
      <c r="AO9" s="411"/>
      <c r="AP9"/>
      <c r="AQ9"/>
      <c r="AR9"/>
      <c r="AS9"/>
      <c r="AT9"/>
      <c r="AU9"/>
      <c r="AV9"/>
      <c r="AW9"/>
      <c r="AX9"/>
      <c r="AY9"/>
      <c r="AZ9"/>
      <c r="BA9"/>
      <c r="BB9"/>
      <c r="BC9"/>
      <c r="BD9"/>
      <c r="BE9"/>
    </row>
    <row r="10" spans="2:57" ht="27" customHeight="1" thickBot="1" x14ac:dyDescent="0.25">
      <c r="B10" s="607">
        <v>1</v>
      </c>
      <c r="C10" s="608">
        <v>2</v>
      </c>
      <c r="D10" s="608">
        <v>3</v>
      </c>
      <c r="E10" s="608">
        <v>4</v>
      </c>
      <c r="F10" s="608">
        <v>5</v>
      </c>
      <c r="G10" s="608">
        <v>6</v>
      </c>
      <c r="H10" s="608">
        <v>7</v>
      </c>
      <c r="I10" s="608">
        <v>8</v>
      </c>
      <c r="J10" s="608">
        <v>9</v>
      </c>
      <c r="K10" s="609">
        <v>10</v>
      </c>
      <c r="L10" s="610">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91">
        <v>4</v>
      </c>
      <c r="AC10" s="688">
        <v>933.11</v>
      </c>
      <c r="AD10" s="689">
        <v>1128.6300000000001</v>
      </c>
      <c r="AE10" s="689">
        <v>1400.31</v>
      </c>
      <c r="AF10" s="689">
        <v>1558.14</v>
      </c>
      <c r="AG10" s="689">
        <v>1470.89</v>
      </c>
      <c r="AH10" s="689">
        <v>1532.16</v>
      </c>
      <c r="AI10" s="689">
        <v>1328.86</v>
      </c>
      <c r="AJ10" s="689">
        <v>1170.7249999999997</v>
      </c>
      <c r="AK10" s="689">
        <v>1048.1600000000001</v>
      </c>
      <c r="AL10" s="689">
        <v>912.31</v>
      </c>
      <c r="AM10" s="689"/>
      <c r="AN10" s="690"/>
      <c r="AO10" s="411"/>
      <c r="AP10"/>
      <c r="AQ10"/>
      <c r="AR10"/>
      <c r="AS10"/>
      <c r="AT10"/>
      <c r="AU10"/>
      <c r="AV10"/>
      <c r="AW10"/>
      <c r="AX10"/>
      <c r="AY10"/>
      <c r="AZ10"/>
      <c r="BA10"/>
      <c r="BB10"/>
      <c r="BC10"/>
      <c r="BD10"/>
      <c r="BE10"/>
    </row>
    <row r="11" spans="2:57" ht="27" customHeight="1" thickBot="1" x14ac:dyDescent="0.25">
      <c r="B11" s="486">
        <v>1</v>
      </c>
      <c r="C11" s="487" t="s">
        <v>28</v>
      </c>
      <c r="D11" s="487" t="s">
        <v>74</v>
      </c>
      <c r="E11" s="488">
        <v>55.77</v>
      </c>
      <c r="F11" s="489">
        <v>31.144597999999998</v>
      </c>
      <c r="G11" s="490">
        <v>53.96</v>
      </c>
      <c r="H11" s="490">
        <v>21.207999999999998</v>
      </c>
      <c r="I11" s="490">
        <v>50.26</v>
      </c>
      <c r="J11" s="490">
        <v>7.55</v>
      </c>
      <c r="K11" s="886" t="s">
        <v>179</v>
      </c>
      <c r="L11" s="491">
        <f>IF(J11=0,"Waduk Kosong",)</f>
        <v>0</v>
      </c>
      <c r="M11" s="611"/>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91">
        <v>5</v>
      </c>
      <c r="AC11" s="688">
        <v>941.15</v>
      </c>
      <c r="AD11" s="689">
        <v>1145.3699999999999</v>
      </c>
      <c r="AE11" s="689">
        <v>1411.36</v>
      </c>
      <c r="AF11" s="689">
        <v>1558.11</v>
      </c>
      <c r="AG11" s="689">
        <v>1462.61</v>
      </c>
      <c r="AH11" s="689">
        <v>1527.39</v>
      </c>
      <c r="AI11" s="689">
        <v>1324.72</v>
      </c>
      <c r="AJ11" s="689">
        <v>1117.6469162900003</v>
      </c>
      <c r="AK11" s="689">
        <v>1056.1500000000001</v>
      </c>
      <c r="AL11" s="689">
        <v>904.99</v>
      </c>
      <c r="AM11" s="689"/>
      <c r="AN11" s="690"/>
      <c r="AO11" s="411"/>
      <c r="AP11"/>
      <c r="AQ11"/>
      <c r="AR11"/>
      <c r="AS11"/>
      <c r="AT11"/>
      <c r="AU11"/>
      <c r="AV11"/>
      <c r="AW11"/>
      <c r="AX11"/>
      <c r="AY11"/>
      <c r="AZ11"/>
      <c r="BA11"/>
      <c r="BB11"/>
      <c r="BC11"/>
      <c r="BD11"/>
      <c r="BE11"/>
    </row>
    <row r="12" spans="2:57" ht="27" customHeight="1" thickBot="1" x14ac:dyDescent="0.25">
      <c r="B12" s="492">
        <f>+B11+1</f>
        <v>2</v>
      </c>
      <c r="C12" s="493" t="s">
        <v>29</v>
      </c>
      <c r="D12" s="493" t="s">
        <v>74</v>
      </c>
      <c r="E12" s="494">
        <v>339.5</v>
      </c>
      <c r="F12" s="495">
        <v>7.77</v>
      </c>
      <c r="G12" s="496">
        <v>339.5</v>
      </c>
      <c r="H12" s="497">
        <v>7.77</v>
      </c>
      <c r="I12" s="496">
        <v>339.55</v>
      </c>
      <c r="J12" s="497">
        <v>7.81</v>
      </c>
      <c r="K12" s="886" t="s">
        <v>180</v>
      </c>
      <c r="L12" s="491">
        <f t="shared" ref="L12:L14" si="0">IF(J12=0,"Waduk Kosong",)</f>
        <v>0</v>
      </c>
      <c r="M12" s="611"/>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92">
        <v>6</v>
      </c>
      <c r="AC12" s="688">
        <v>945.12</v>
      </c>
      <c r="AD12" s="689">
        <v>1145.5999999999999</v>
      </c>
      <c r="AE12" s="689">
        <v>1408.88</v>
      </c>
      <c r="AF12" s="689">
        <v>1554.41</v>
      </c>
      <c r="AG12" s="689">
        <v>1457.12</v>
      </c>
      <c r="AH12" s="689">
        <v>1521.97</v>
      </c>
      <c r="AI12" s="689">
        <v>1319.07</v>
      </c>
      <c r="AJ12" s="689">
        <v>1106.7979162899999</v>
      </c>
      <c r="AK12" s="689">
        <v>1048.6600000000001</v>
      </c>
      <c r="AL12" s="689">
        <v>1006.99</v>
      </c>
      <c r="AM12" s="689"/>
      <c r="AN12" s="690"/>
      <c r="AO12" s="411"/>
      <c r="AP12"/>
      <c r="AQ12"/>
      <c r="AR12"/>
      <c r="AS12"/>
      <c r="AT12"/>
      <c r="AU12"/>
      <c r="AV12"/>
      <c r="AW12"/>
      <c r="AX12"/>
      <c r="AY12"/>
      <c r="AZ12"/>
      <c r="BA12"/>
      <c r="BB12"/>
      <c r="BC12"/>
      <c r="BD12"/>
      <c r="BE12"/>
    </row>
    <row r="13" spans="2:57" ht="24.75" customHeight="1" thickBot="1" x14ac:dyDescent="0.25">
      <c r="B13" s="492">
        <f t="shared" ref="B13:B18" si="1">+B12+1</f>
        <v>3</v>
      </c>
      <c r="C13" s="493" t="s">
        <v>30</v>
      </c>
      <c r="D13" s="493" t="s">
        <v>75</v>
      </c>
      <c r="E13" s="488">
        <v>77.5</v>
      </c>
      <c r="F13" s="489">
        <v>45.13</v>
      </c>
      <c r="G13" s="496">
        <v>70.16</v>
      </c>
      <c r="H13" s="497">
        <v>13.352</v>
      </c>
      <c r="I13" s="496">
        <v>70.72</v>
      </c>
      <c r="J13" s="497">
        <v>15.074999999999999</v>
      </c>
      <c r="K13" s="886" t="s">
        <v>30</v>
      </c>
      <c r="L13" s="491">
        <f t="shared" si="0"/>
        <v>0</v>
      </c>
      <c r="M13" s="611"/>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91">
        <v>7</v>
      </c>
      <c r="AC13" s="688">
        <v>950.71</v>
      </c>
      <c r="AD13" s="689">
        <v>1144.29</v>
      </c>
      <c r="AE13" s="689">
        <v>1511.43</v>
      </c>
      <c r="AF13" s="689">
        <v>1546.35</v>
      </c>
      <c r="AG13" s="689">
        <v>1453.04</v>
      </c>
      <c r="AH13" s="689">
        <v>1510.25</v>
      </c>
      <c r="AI13" s="689">
        <v>1319.46</v>
      </c>
      <c r="AJ13" s="689">
        <v>1098.00309152</v>
      </c>
      <c r="AK13" s="689">
        <v>1024.25</v>
      </c>
      <c r="AL13" s="689">
        <v>886.38</v>
      </c>
      <c r="AM13" s="689"/>
      <c r="AN13" s="690"/>
      <c r="AO13" s="411"/>
      <c r="AP13"/>
      <c r="AQ13"/>
      <c r="AR13"/>
      <c r="AS13"/>
      <c r="AT13"/>
      <c r="AU13"/>
      <c r="AV13"/>
      <c r="AW13"/>
      <c r="AX13"/>
      <c r="AY13"/>
      <c r="AZ13"/>
      <c r="BA13"/>
      <c r="BB13"/>
      <c r="BC13"/>
      <c r="BD13"/>
      <c r="BE13"/>
    </row>
    <row r="14" spans="2:57" ht="27" customHeight="1" thickBot="1" x14ac:dyDescent="0.25">
      <c r="B14" s="492">
        <f t="shared" si="1"/>
        <v>4</v>
      </c>
      <c r="C14" s="493" t="s">
        <v>31</v>
      </c>
      <c r="D14" s="493" t="s">
        <v>76</v>
      </c>
      <c r="E14" s="488">
        <v>463.3</v>
      </c>
      <c r="F14" s="489">
        <v>49.9</v>
      </c>
      <c r="G14" s="498">
        <v>461.3</v>
      </c>
      <c r="H14" s="498">
        <v>19.064</v>
      </c>
      <c r="I14" s="489">
        <v>461.13</v>
      </c>
      <c r="J14" s="489">
        <v>17.05</v>
      </c>
      <c r="K14" s="886" t="s">
        <v>181</v>
      </c>
      <c r="L14" s="491">
        <f t="shared" si="0"/>
        <v>0</v>
      </c>
      <c r="M14" s="612"/>
      <c r="N14" s="190">
        <v>8</v>
      </c>
      <c r="O14" s="363">
        <v>559.37</v>
      </c>
      <c r="P14" s="360">
        <v>833.78</v>
      </c>
      <c r="Q14" s="360">
        <v>1085</v>
      </c>
      <c r="R14" s="197">
        <v>1253.69</v>
      </c>
      <c r="S14" s="360">
        <v>1268</v>
      </c>
      <c r="T14" s="360">
        <v>1305.77</v>
      </c>
      <c r="U14" s="197">
        <v>0</v>
      </c>
      <c r="V14" s="197">
        <v>0</v>
      </c>
      <c r="W14" s="197">
        <v>0</v>
      </c>
      <c r="X14" s="197">
        <v>0</v>
      </c>
      <c r="Y14" s="197">
        <v>0</v>
      </c>
      <c r="Z14" s="198">
        <v>0</v>
      </c>
      <c r="AB14" s="691">
        <v>8</v>
      </c>
      <c r="AC14" s="688">
        <v>921.76</v>
      </c>
      <c r="AD14" s="689">
        <v>1143.75</v>
      </c>
      <c r="AE14" s="689">
        <v>1425.96</v>
      </c>
      <c r="AF14" s="689">
        <v>1542.16</v>
      </c>
      <c r="AG14" s="689">
        <v>1460.17</v>
      </c>
      <c r="AH14" s="689">
        <v>1500.78</v>
      </c>
      <c r="AI14" s="689">
        <v>1313.57</v>
      </c>
      <c r="AJ14" s="689">
        <v>1095.6854058200001</v>
      </c>
      <c r="AK14" s="689">
        <v>1036.5999999999999</v>
      </c>
      <c r="AL14" s="689">
        <v>874.88</v>
      </c>
      <c r="AM14" s="689"/>
      <c r="AN14" s="690"/>
      <c r="AO14" s="411"/>
      <c r="AP14"/>
      <c r="AQ14"/>
      <c r="AR14"/>
      <c r="AS14"/>
      <c r="AT14"/>
      <c r="AU14"/>
      <c r="AV14"/>
      <c r="AW14"/>
      <c r="AX14"/>
      <c r="AY14"/>
      <c r="AZ14"/>
      <c r="BA14"/>
      <c r="BB14"/>
      <c r="BC14"/>
      <c r="BD14"/>
      <c r="BE14"/>
    </row>
    <row r="15" spans="2:57" ht="27" customHeight="1" thickBot="1" x14ac:dyDescent="0.25">
      <c r="B15" s="492">
        <f t="shared" si="1"/>
        <v>5</v>
      </c>
      <c r="C15" s="493" t="s">
        <v>32</v>
      </c>
      <c r="D15" s="493" t="s">
        <v>77</v>
      </c>
      <c r="E15" s="488">
        <v>207</v>
      </c>
      <c r="F15" s="489">
        <v>9.5030000000000001</v>
      </c>
      <c r="G15" s="499">
        <v>198</v>
      </c>
      <c r="H15" s="500">
        <v>2.1840000000000002</v>
      </c>
      <c r="I15" s="619">
        <v>207.01</v>
      </c>
      <c r="J15" s="758">
        <v>2.5209999999999999</v>
      </c>
      <c r="K15" s="886" t="s">
        <v>182</v>
      </c>
      <c r="L15" s="491"/>
      <c r="M15" s="613"/>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91">
        <v>9</v>
      </c>
      <c r="AC15" s="688">
        <v>920.53</v>
      </c>
      <c r="AD15" s="689">
        <v>1141.8499999999999</v>
      </c>
      <c r="AE15" s="689">
        <v>1452.68</v>
      </c>
      <c r="AF15" s="689">
        <v>1538.56</v>
      </c>
      <c r="AG15" s="689">
        <v>1458.29</v>
      </c>
      <c r="AH15" s="689">
        <v>1494.7</v>
      </c>
      <c r="AI15" s="689">
        <v>1308.3499999999999</v>
      </c>
      <c r="AJ15" s="689">
        <v>1092.4872501700002</v>
      </c>
      <c r="AK15" s="689">
        <v>1028.24</v>
      </c>
      <c r="AL15" s="689">
        <v>861.68</v>
      </c>
      <c r="AM15" s="689"/>
      <c r="AN15" s="690"/>
      <c r="AO15" s="411"/>
      <c r="AP15"/>
      <c r="AQ15"/>
      <c r="AR15"/>
      <c r="AS15"/>
      <c r="AT15"/>
      <c r="AU15"/>
      <c r="AV15"/>
      <c r="AW15"/>
      <c r="AX15"/>
      <c r="AY15"/>
      <c r="AZ15"/>
      <c r="BA15"/>
      <c r="BB15"/>
      <c r="BC15"/>
      <c r="BD15"/>
      <c r="BE15"/>
    </row>
    <row r="16" spans="2:57" ht="27" customHeight="1" thickBot="1" x14ac:dyDescent="0.25">
      <c r="B16" s="492">
        <f t="shared" si="1"/>
        <v>6</v>
      </c>
      <c r="C16" s="493" t="s">
        <v>33</v>
      </c>
      <c r="D16" s="493" t="s">
        <v>77</v>
      </c>
      <c r="E16" s="488">
        <v>320</v>
      </c>
      <c r="F16" s="489">
        <v>5.1509999999999998</v>
      </c>
      <c r="G16" s="499">
        <v>312.93</v>
      </c>
      <c r="H16" s="501">
        <v>1.8009999999999999</v>
      </c>
      <c r="I16" s="619">
        <v>312.97000000000003</v>
      </c>
      <c r="J16" s="758">
        <v>1.8049999999999999</v>
      </c>
      <c r="K16" s="886" t="s">
        <v>182</v>
      </c>
      <c r="L16" s="491"/>
      <c r="M16" s="613"/>
      <c r="N16" s="190">
        <v>10</v>
      </c>
      <c r="O16" s="363">
        <v>570.04</v>
      </c>
      <c r="P16" s="360">
        <v>859.47</v>
      </c>
      <c r="Q16" s="360">
        <v>1105</v>
      </c>
      <c r="R16" s="197">
        <v>1262.04</v>
      </c>
      <c r="S16" s="360">
        <v>1265.22</v>
      </c>
      <c r="T16" s="360">
        <v>1309.69</v>
      </c>
      <c r="U16" s="197">
        <v>0</v>
      </c>
      <c r="V16" s="197">
        <v>0</v>
      </c>
      <c r="W16" s="197">
        <v>0</v>
      </c>
      <c r="X16" s="197">
        <v>0</v>
      </c>
      <c r="Y16" s="197">
        <v>0</v>
      </c>
      <c r="Z16" s="198">
        <v>0</v>
      </c>
      <c r="AB16" s="691">
        <v>10</v>
      </c>
      <c r="AC16" s="688">
        <v>918.84</v>
      </c>
      <c r="AD16" s="689">
        <v>1142.3599999999999</v>
      </c>
      <c r="AE16" s="689">
        <v>1457.6</v>
      </c>
      <c r="AF16" s="689">
        <v>1536.42</v>
      </c>
      <c r="AG16" s="689">
        <v>1466.97</v>
      </c>
      <c r="AH16" s="689">
        <v>1487.58</v>
      </c>
      <c r="AI16" s="689">
        <v>1302.74</v>
      </c>
      <c r="AJ16" s="689">
        <v>1089.5730304199997</v>
      </c>
      <c r="AK16" s="689">
        <v>1018.47</v>
      </c>
      <c r="AL16" s="689">
        <v>851.28</v>
      </c>
      <c r="AM16" s="689"/>
      <c r="AN16" s="690"/>
      <c r="AO16" s="411"/>
      <c r="AP16"/>
      <c r="AQ16"/>
      <c r="AR16"/>
      <c r="AS16"/>
      <c r="AT16"/>
      <c r="AU16"/>
      <c r="AV16"/>
      <c r="AW16"/>
      <c r="AX16"/>
      <c r="AY16"/>
      <c r="AZ16"/>
      <c r="BA16"/>
      <c r="BB16"/>
      <c r="BC16"/>
      <c r="BD16"/>
      <c r="BE16"/>
    </row>
    <row r="17" spans="2:57" ht="27" customHeight="1" thickBot="1" x14ac:dyDescent="0.25">
      <c r="B17" s="492">
        <f t="shared" si="1"/>
        <v>7</v>
      </c>
      <c r="C17" s="493" t="s">
        <v>34</v>
      </c>
      <c r="D17" s="493" t="s">
        <v>78</v>
      </c>
      <c r="E17" s="488">
        <v>90</v>
      </c>
      <c r="F17" s="489">
        <v>689.09100000000001</v>
      </c>
      <c r="G17" s="499">
        <v>82</v>
      </c>
      <c r="H17" s="501">
        <v>297.44299999999998</v>
      </c>
      <c r="I17" s="619">
        <v>82.05</v>
      </c>
      <c r="J17" s="758">
        <v>298.74299999999999</v>
      </c>
      <c r="K17" s="886" t="s">
        <v>183</v>
      </c>
      <c r="L17" s="491"/>
      <c r="M17" s="613"/>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92">
        <v>11</v>
      </c>
      <c r="AC17" s="688">
        <v>937.65</v>
      </c>
      <c r="AD17" s="689">
        <v>1139.3499999999999</v>
      </c>
      <c r="AE17" s="689">
        <v>1465.55</v>
      </c>
      <c r="AF17" s="689">
        <v>1537.36</v>
      </c>
      <c r="AG17" s="689">
        <v>1474</v>
      </c>
      <c r="AH17" s="689">
        <v>1480.18</v>
      </c>
      <c r="AI17" s="689">
        <v>1297.8599999999999</v>
      </c>
      <c r="AJ17" s="689">
        <v>1084.0488003299995</v>
      </c>
      <c r="AK17" s="689">
        <v>1011.56</v>
      </c>
      <c r="AL17" s="689">
        <v>838.12</v>
      </c>
      <c r="AM17" s="689"/>
      <c r="AN17" s="690"/>
      <c r="AO17" s="411"/>
      <c r="AP17" s="263"/>
      <c r="AQ17"/>
      <c r="AR17"/>
      <c r="AS17"/>
      <c r="AT17"/>
      <c r="AU17"/>
      <c r="AV17"/>
      <c r="AW17"/>
      <c r="AX17"/>
      <c r="AY17"/>
      <c r="AZ17"/>
      <c r="BA17"/>
      <c r="BB17"/>
      <c r="BC17"/>
      <c r="BD17"/>
      <c r="BE17"/>
    </row>
    <row r="18" spans="2:57" ht="24.75" customHeight="1" thickBot="1" x14ac:dyDescent="0.25">
      <c r="B18" s="492">
        <f t="shared" si="1"/>
        <v>8</v>
      </c>
      <c r="C18" s="738" t="s">
        <v>332</v>
      </c>
      <c r="D18" s="738" t="s">
        <v>334</v>
      </c>
      <c r="E18" s="738">
        <v>88.5</v>
      </c>
      <c r="F18" s="738">
        <v>20.149999999999999</v>
      </c>
      <c r="G18" s="742">
        <v>83.02</v>
      </c>
      <c r="H18" s="742">
        <v>13.439</v>
      </c>
      <c r="I18" s="742">
        <v>86.14</v>
      </c>
      <c r="J18" s="759">
        <v>16.670000000000002</v>
      </c>
      <c r="K18" s="738" t="s">
        <v>182</v>
      </c>
      <c r="L18" s="739"/>
      <c r="M18" s="614"/>
      <c r="N18" s="190">
        <v>12</v>
      </c>
      <c r="O18" s="363">
        <v>577.91</v>
      </c>
      <c r="P18" s="360">
        <v>907.96</v>
      </c>
      <c r="Q18" s="360">
        <v>1114</v>
      </c>
      <c r="R18" s="197">
        <v>1284.04</v>
      </c>
      <c r="S18" s="360">
        <v>1263.57</v>
      </c>
      <c r="T18" s="360">
        <v>1315.08</v>
      </c>
      <c r="U18" s="197">
        <v>0</v>
      </c>
      <c r="V18" s="197">
        <v>0</v>
      </c>
      <c r="W18" s="197">
        <v>0</v>
      </c>
      <c r="X18" s="197">
        <v>0</v>
      </c>
      <c r="Y18" s="197">
        <v>0</v>
      </c>
      <c r="Z18" s="198">
        <v>0</v>
      </c>
      <c r="AB18" s="691">
        <v>12</v>
      </c>
      <c r="AC18" s="688">
        <v>953.38</v>
      </c>
      <c r="AD18" s="689">
        <v>1139.95</v>
      </c>
      <c r="AE18" s="689">
        <v>1467.41</v>
      </c>
      <c r="AF18" s="689">
        <v>1547.46</v>
      </c>
      <c r="AG18" s="689">
        <v>1480.3</v>
      </c>
      <c r="AH18" s="689">
        <v>1472.69</v>
      </c>
      <c r="AI18" s="689">
        <v>1294.43</v>
      </c>
      <c r="AJ18" s="689">
        <v>1117.6469162900003</v>
      </c>
      <c r="AK18" s="689">
        <v>1015.2</v>
      </c>
      <c r="AL18" s="689">
        <v>830.36</v>
      </c>
      <c r="AM18" s="689"/>
      <c r="AN18" s="690"/>
      <c r="AO18" s="411"/>
      <c r="AP18" s="263"/>
      <c r="AQ18"/>
      <c r="AR18"/>
      <c r="AS18"/>
      <c r="AT18"/>
      <c r="AU18"/>
      <c r="AV18"/>
      <c r="AW18"/>
      <c r="AX18"/>
      <c r="AY18"/>
      <c r="AZ18"/>
      <c r="BA18"/>
      <c r="BB18"/>
      <c r="BC18"/>
      <c r="BD18"/>
      <c r="BE18"/>
    </row>
    <row r="19" spans="2:57" ht="27" customHeight="1" thickBot="1" x14ac:dyDescent="0.25">
      <c r="B19" s="740">
        <v>9</v>
      </c>
      <c r="C19" s="738" t="s">
        <v>333</v>
      </c>
      <c r="D19" s="738" t="s">
        <v>79</v>
      </c>
      <c r="E19" s="742">
        <v>94.27</v>
      </c>
      <c r="F19" s="742">
        <v>10.41</v>
      </c>
      <c r="G19" s="742">
        <v>91.88</v>
      </c>
      <c r="H19" s="742">
        <v>7.2279999999999998</v>
      </c>
      <c r="I19" s="742">
        <v>93.66</v>
      </c>
      <c r="J19" s="742">
        <v>9.3569999999999993</v>
      </c>
      <c r="K19" s="738" t="s">
        <v>182</v>
      </c>
      <c r="L19" s="816"/>
      <c r="M19" s="615"/>
      <c r="N19" s="190">
        <v>13</v>
      </c>
      <c r="O19" s="875">
        <v>582.61</v>
      </c>
      <c r="P19" s="876">
        <v>922.6</v>
      </c>
      <c r="Q19" s="876">
        <v>1123</v>
      </c>
      <c r="R19" s="197">
        <v>1284.04</v>
      </c>
      <c r="S19" s="876">
        <v>1262.28</v>
      </c>
      <c r="T19" s="876">
        <v>1314</v>
      </c>
      <c r="U19" s="197">
        <v>0</v>
      </c>
      <c r="V19" s="197">
        <v>0</v>
      </c>
      <c r="W19" s="197">
        <v>0</v>
      </c>
      <c r="X19" s="197">
        <v>0</v>
      </c>
      <c r="Y19" s="197">
        <v>0</v>
      </c>
      <c r="Z19" s="198">
        <v>0</v>
      </c>
      <c r="AB19" s="691">
        <v>13</v>
      </c>
      <c r="AC19" s="688">
        <v>963.3</v>
      </c>
      <c r="AD19" s="689">
        <v>1133.68</v>
      </c>
      <c r="AE19" s="689">
        <v>1476.97</v>
      </c>
      <c r="AF19" s="689">
        <v>1557.98</v>
      </c>
      <c r="AG19" s="689">
        <v>1490.38</v>
      </c>
      <c r="AH19" s="689">
        <v>1464.99</v>
      </c>
      <c r="AI19" s="689">
        <v>1286.6099999999999</v>
      </c>
      <c r="AJ19" s="689">
        <v>1106.7979162899999</v>
      </c>
      <c r="AK19" s="689">
        <v>1004.52</v>
      </c>
      <c r="AL19" s="689">
        <v>821.15</v>
      </c>
      <c r="AM19" s="689"/>
      <c r="AN19" s="690"/>
      <c r="AO19" s="877"/>
      <c r="AP19" s="878"/>
      <c r="AQ19" s="271"/>
      <c r="AR19" s="271"/>
      <c r="AS19" s="271"/>
      <c r="AT19" s="271"/>
      <c r="AU19" s="271"/>
      <c r="AV19" s="271"/>
      <c r="AW19" s="271"/>
      <c r="AX19" s="271"/>
      <c r="AY19" s="271"/>
      <c r="AZ19" s="271"/>
      <c r="BA19" s="271"/>
      <c r="BB19" s="271"/>
      <c r="BC19" s="271"/>
      <c r="BD19" s="271"/>
      <c r="BE19" s="271"/>
    </row>
    <row r="20" spans="2:57" ht="25.5" customHeight="1" thickBot="1" x14ac:dyDescent="0.25">
      <c r="B20" s="486">
        <f>B19+1</f>
        <v>10</v>
      </c>
      <c r="C20" s="487" t="s">
        <v>35</v>
      </c>
      <c r="D20" s="487" t="s">
        <v>79</v>
      </c>
      <c r="E20" s="494">
        <v>120.5</v>
      </c>
      <c r="F20" s="495">
        <v>2.0920000000000001</v>
      </c>
      <c r="G20" s="735">
        <v>116.42</v>
      </c>
      <c r="H20" s="736">
        <v>0.33600000000000002</v>
      </c>
      <c r="I20" s="737">
        <v>118.17</v>
      </c>
      <c r="J20" s="760">
        <v>0.89600000000000002</v>
      </c>
      <c r="K20" s="887" t="s">
        <v>184</v>
      </c>
      <c r="L20" s="817"/>
      <c r="M20" s="615"/>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91">
        <v>14</v>
      </c>
      <c r="AC20" s="688">
        <v>968.06</v>
      </c>
      <c r="AD20" s="689">
        <v>1136.33</v>
      </c>
      <c r="AE20" s="689">
        <v>1482.48</v>
      </c>
      <c r="AF20" s="689">
        <v>1558.45</v>
      </c>
      <c r="AG20" s="689">
        <v>1477.83</v>
      </c>
      <c r="AH20" s="689">
        <v>1457.53</v>
      </c>
      <c r="AI20" s="689">
        <v>1280.6600000000001</v>
      </c>
      <c r="AJ20" s="689">
        <v>1098.00309152</v>
      </c>
      <c r="AK20" s="689">
        <v>995.83</v>
      </c>
      <c r="AL20" s="689">
        <v>812.41</v>
      </c>
      <c r="AM20" s="689"/>
      <c r="AN20" s="690"/>
      <c r="AO20" s="411"/>
      <c r="AP20" s="263"/>
      <c r="AQ20"/>
      <c r="AR20"/>
      <c r="AS20"/>
      <c r="AT20"/>
      <c r="AU20"/>
      <c r="AV20"/>
      <c r="AW20"/>
      <c r="AX20"/>
      <c r="AY20"/>
      <c r="AZ20"/>
      <c r="BA20"/>
      <c r="BB20"/>
      <c r="BC20"/>
      <c r="BD20"/>
      <c r="BE20"/>
    </row>
    <row r="21" spans="2:57" ht="27" customHeight="1" thickBot="1" x14ac:dyDescent="0.25">
      <c r="B21" s="492">
        <f t="shared" ref="B21:B55" si="2">+B20+1</f>
        <v>11</v>
      </c>
      <c r="C21" s="493" t="s">
        <v>36</v>
      </c>
      <c r="D21" s="493" t="s">
        <v>79</v>
      </c>
      <c r="E21" s="488">
        <v>120.8</v>
      </c>
      <c r="F21" s="489">
        <v>2.3530000000000002</v>
      </c>
      <c r="G21" s="499">
        <v>116.97</v>
      </c>
      <c r="H21" s="502">
        <v>0.42299999999999999</v>
      </c>
      <c r="I21" s="619">
        <v>118.82</v>
      </c>
      <c r="J21" s="758">
        <v>0.95599999999999996</v>
      </c>
      <c r="K21" s="886" t="s">
        <v>184</v>
      </c>
      <c r="L21" s="491"/>
      <c r="M21" s="615"/>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91">
        <v>15</v>
      </c>
      <c r="AC21" s="688">
        <v>971.47</v>
      </c>
      <c r="AD21" s="689">
        <v>1137.69</v>
      </c>
      <c r="AE21" s="689">
        <v>1485.56</v>
      </c>
      <c r="AF21" s="689">
        <v>1559.98</v>
      </c>
      <c r="AG21" s="689">
        <v>1507.35</v>
      </c>
      <c r="AH21" s="689">
        <v>1455.85</v>
      </c>
      <c r="AI21" s="689">
        <v>1274.03</v>
      </c>
      <c r="AJ21" s="689">
        <v>1095.6854058200001</v>
      </c>
      <c r="AK21" s="689">
        <v>993.77</v>
      </c>
      <c r="AL21" s="689">
        <v>803.77</v>
      </c>
      <c r="AM21" s="689"/>
      <c r="AN21" s="690"/>
      <c r="AO21" s="411"/>
      <c r="AP21" s="263"/>
      <c r="AQ21"/>
      <c r="AR21"/>
      <c r="AS21"/>
      <c r="AT21"/>
      <c r="AU21"/>
      <c r="AV21"/>
      <c r="AW21"/>
      <c r="AX21"/>
      <c r="AY21"/>
      <c r="AZ21"/>
      <c r="BA21"/>
      <c r="BB21"/>
      <c r="BC21"/>
      <c r="BD21"/>
      <c r="BE21"/>
    </row>
    <row r="22" spans="2:57" ht="27" customHeight="1" thickBot="1" x14ac:dyDescent="0.25">
      <c r="B22" s="492">
        <f t="shared" si="2"/>
        <v>12</v>
      </c>
      <c r="C22" s="493" t="s">
        <v>37</v>
      </c>
      <c r="D22" s="493" t="s">
        <v>80</v>
      </c>
      <c r="E22" s="488">
        <v>46.5</v>
      </c>
      <c r="F22" s="488">
        <v>4.5999999999999996</v>
      </c>
      <c r="G22" s="499">
        <v>43.25</v>
      </c>
      <c r="H22" s="501">
        <v>2.879</v>
      </c>
      <c r="I22" s="619">
        <v>44.86</v>
      </c>
      <c r="J22" s="758">
        <v>3.2149999999999999</v>
      </c>
      <c r="K22" s="886" t="s">
        <v>185</v>
      </c>
      <c r="L22" s="713"/>
      <c r="M22" s="615"/>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92">
        <v>16</v>
      </c>
      <c r="AC22" s="688">
        <v>975.69</v>
      </c>
      <c r="AD22" s="689">
        <v>1145.56</v>
      </c>
      <c r="AE22" s="689">
        <v>1496.77</v>
      </c>
      <c r="AF22" s="689">
        <v>1557.92</v>
      </c>
      <c r="AG22" s="689">
        <v>1512.69</v>
      </c>
      <c r="AH22" s="689">
        <v>1447.45</v>
      </c>
      <c r="AI22" s="689">
        <v>1264.06</v>
      </c>
      <c r="AJ22" s="689">
        <v>1092.4872501700002</v>
      </c>
      <c r="AK22" s="689">
        <v>966.05</v>
      </c>
      <c r="AL22" s="689">
        <v>796.62</v>
      </c>
      <c r="AM22" s="689"/>
      <c r="AN22" s="690"/>
      <c r="AO22" s="411"/>
      <c r="AP22" s="263"/>
      <c r="AQ22"/>
      <c r="AR22"/>
      <c r="AS22"/>
      <c r="AT22"/>
      <c r="AU22"/>
      <c r="AV22"/>
      <c r="AW22"/>
      <c r="AX22"/>
      <c r="AY22"/>
      <c r="AZ22"/>
      <c r="BA22"/>
      <c r="BB22"/>
      <c r="BC22"/>
      <c r="BD22"/>
      <c r="BE22"/>
    </row>
    <row r="23" spans="2:57" ht="27" customHeight="1" thickBot="1" x14ac:dyDescent="0.25">
      <c r="B23" s="492">
        <f t="shared" si="2"/>
        <v>13</v>
      </c>
      <c r="C23" s="493" t="s">
        <v>39</v>
      </c>
      <c r="D23" s="493" t="s">
        <v>80</v>
      </c>
      <c r="E23" s="488">
        <v>51.5</v>
      </c>
      <c r="F23" s="489">
        <v>2.4159999999999999</v>
      </c>
      <c r="G23" s="499">
        <v>48.37</v>
      </c>
      <c r="H23" s="501">
        <v>0.33</v>
      </c>
      <c r="I23" s="620">
        <v>50.94</v>
      </c>
      <c r="J23" s="758">
        <v>1.19</v>
      </c>
      <c r="K23" s="886" t="s">
        <v>186</v>
      </c>
      <c r="L23" s="491">
        <f t="shared" ref="L23:L33" si="3">IF(J23=0,"Waduk Kosong",)</f>
        <v>0</v>
      </c>
      <c r="M23" s="613"/>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91">
        <v>17</v>
      </c>
      <c r="AC23" s="688">
        <v>978.05</v>
      </c>
      <c r="AD23" s="689">
        <v>1151.58</v>
      </c>
      <c r="AE23" s="689">
        <v>1499.51</v>
      </c>
      <c r="AF23" s="689">
        <v>1548.88</v>
      </c>
      <c r="AG23" s="689">
        <v>1523.02</v>
      </c>
      <c r="AH23" s="689">
        <v>1449.83</v>
      </c>
      <c r="AI23" s="689">
        <v>1262.26</v>
      </c>
      <c r="AJ23" s="689">
        <v>1089.5730304199997</v>
      </c>
      <c r="AK23" s="689">
        <v>985.35</v>
      </c>
      <c r="AL23" s="689">
        <v>789.09</v>
      </c>
      <c r="AM23" s="689"/>
      <c r="AN23" s="690"/>
      <c r="AO23" s="411"/>
      <c r="AP23" s="263"/>
      <c r="AQ23"/>
      <c r="AR23"/>
      <c r="AS23"/>
      <c r="AT23"/>
      <c r="AU23"/>
      <c r="AV23"/>
      <c r="AW23"/>
      <c r="AX23"/>
      <c r="AY23"/>
      <c r="AZ23"/>
      <c r="BA23"/>
      <c r="BB23"/>
      <c r="BC23"/>
      <c r="BD23"/>
      <c r="BE23"/>
    </row>
    <row r="24" spans="2:57" ht="27" customHeight="1" thickBot="1" x14ac:dyDescent="0.25">
      <c r="B24" s="492">
        <f t="shared" si="2"/>
        <v>14</v>
      </c>
      <c r="C24" s="493" t="s">
        <v>40</v>
      </c>
      <c r="D24" s="493" t="s">
        <v>78</v>
      </c>
      <c r="E24" s="488">
        <v>81</v>
      </c>
      <c r="F24" s="503">
        <v>1.093</v>
      </c>
      <c r="G24" s="499">
        <v>74.209999999999994</v>
      </c>
      <c r="H24" s="838">
        <v>0.221</v>
      </c>
      <c r="I24" s="619">
        <v>76.91</v>
      </c>
      <c r="J24" s="758">
        <v>0.56999999999999995</v>
      </c>
      <c r="K24" s="886" t="s">
        <v>184</v>
      </c>
      <c r="L24" s="491">
        <f t="shared" si="3"/>
        <v>0</v>
      </c>
      <c r="M24" s="613"/>
      <c r="N24" s="190">
        <v>18</v>
      </c>
      <c r="O24" s="363">
        <v>587.64</v>
      </c>
      <c r="P24" s="360">
        <v>936</v>
      </c>
      <c r="Q24" s="360">
        <v>1131.28</v>
      </c>
      <c r="R24" s="197">
        <v>1295.56</v>
      </c>
      <c r="S24" s="360">
        <v>1255</v>
      </c>
      <c r="T24" s="360">
        <v>1347.06</v>
      </c>
      <c r="U24" s="197">
        <v>0</v>
      </c>
      <c r="V24" s="197">
        <v>0</v>
      </c>
      <c r="W24" s="197">
        <v>0</v>
      </c>
      <c r="X24" s="197">
        <v>0</v>
      </c>
      <c r="Y24" s="197">
        <v>0</v>
      </c>
      <c r="Z24" s="198">
        <v>0</v>
      </c>
      <c r="AB24" s="691">
        <v>18</v>
      </c>
      <c r="AC24" s="688">
        <v>990.08</v>
      </c>
      <c r="AD24" s="689">
        <v>1174.19</v>
      </c>
      <c r="AE24" s="689">
        <v>1502.01</v>
      </c>
      <c r="AF24" s="689">
        <v>1541.27</v>
      </c>
      <c r="AG24" s="689">
        <v>1544.31</v>
      </c>
      <c r="AH24" s="689">
        <v>1448.52</v>
      </c>
      <c r="AI24" s="689">
        <v>1258.54</v>
      </c>
      <c r="AJ24" s="689">
        <v>1084.0488003299995</v>
      </c>
      <c r="AK24" s="689">
        <v>1000.05</v>
      </c>
      <c r="AL24" s="689">
        <v>785.08</v>
      </c>
      <c r="AM24" s="689"/>
      <c r="AN24" s="690"/>
      <c r="AO24" s="411"/>
      <c r="AP24" s="263"/>
      <c r="AQ24"/>
      <c r="AR24"/>
      <c r="AS24"/>
      <c r="AT24"/>
      <c r="AU24"/>
      <c r="AV24"/>
      <c r="AW24"/>
      <c r="AX24"/>
      <c r="AY24"/>
      <c r="AZ24"/>
      <c r="BA24"/>
      <c r="BB24"/>
      <c r="BC24"/>
      <c r="BD24"/>
      <c r="BE24"/>
    </row>
    <row r="25" spans="2:57" ht="27" customHeight="1" thickBot="1" x14ac:dyDescent="0.25">
      <c r="B25" s="492">
        <f t="shared" si="2"/>
        <v>15</v>
      </c>
      <c r="C25" s="493" t="s">
        <v>41</v>
      </c>
      <c r="D25" s="493" t="s">
        <v>78</v>
      </c>
      <c r="E25" s="488">
        <v>82.8</v>
      </c>
      <c r="F25" s="489">
        <v>0.42899999999999999</v>
      </c>
      <c r="G25" s="499">
        <v>78.010000000000005</v>
      </c>
      <c r="H25" s="501">
        <v>0.03</v>
      </c>
      <c r="I25" s="619">
        <v>80.959999999999994</v>
      </c>
      <c r="J25" s="758">
        <v>0.23</v>
      </c>
      <c r="K25" s="886" t="s">
        <v>184</v>
      </c>
      <c r="L25" s="491">
        <f t="shared" si="3"/>
        <v>0</v>
      </c>
      <c r="M25" s="613"/>
      <c r="N25" s="190">
        <v>19</v>
      </c>
      <c r="O25" s="363">
        <v>606</v>
      </c>
      <c r="P25" s="360">
        <v>936.81</v>
      </c>
      <c r="Q25" s="360">
        <v>1125.47</v>
      </c>
      <c r="R25" s="197">
        <v>1295.17</v>
      </c>
      <c r="S25" s="360">
        <v>1256</v>
      </c>
      <c r="T25" s="360">
        <v>1343.11</v>
      </c>
      <c r="U25" s="197">
        <v>0</v>
      </c>
      <c r="V25" s="197">
        <v>0</v>
      </c>
      <c r="W25" s="197">
        <v>0</v>
      </c>
      <c r="X25" s="197">
        <v>0</v>
      </c>
      <c r="Y25" s="197">
        <v>0</v>
      </c>
      <c r="Z25" s="198">
        <v>0</v>
      </c>
      <c r="AB25" s="691">
        <v>19</v>
      </c>
      <c r="AC25" s="688">
        <v>1001.82</v>
      </c>
      <c r="AD25" s="689">
        <v>1189.98</v>
      </c>
      <c r="AE25" s="689">
        <v>1499.68</v>
      </c>
      <c r="AF25" s="689">
        <v>1558.67</v>
      </c>
      <c r="AG25" s="689">
        <v>1545.72</v>
      </c>
      <c r="AH25" s="689">
        <v>1445.85</v>
      </c>
      <c r="AI25" s="689">
        <v>1250.9000000000001</v>
      </c>
      <c r="AJ25" s="689">
        <v>1113.58</v>
      </c>
      <c r="AK25" s="689">
        <v>987</v>
      </c>
      <c r="AL25" s="689">
        <v>783.03</v>
      </c>
      <c r="AM25" s="689"/>
      <c r="AN25" s="690"/>
      <c r="AO25" s="411"/>
      <c r="AP25" s="263"/>
      <c r="AQ25"/>
      <c r="AR25"/>
      <c r="AS25"/>
      <c r="AT25"/>
      <c r="AU25"/>
      <c r="AV25"/>
      <c r="AW25"/>
      <c r="AX25"/>
      <c r="AY25"/>
      <c r="AZ25"/>
      <c r="BA25"/>
      <c r="BB25"/>
      <c r="BC25"/>
      <c r="BD25"/>
      <c r="BE25"/>
    </row>
    <row r="26" spans="2:57" ht="27" customHeight="1" thickBot="1" x14ac:dyDescent="0.25">
      <c r="B26" s="492">
        <f t="shared" si="2"/>
        <v>16</v>
      </c>
      <c r="C26" s="493" t="s">
        <v>42</v>
      </c>
      <c r="D26" s="493" t="s">
        <v>78</v>
      </c>
      <c r="E26" s="488">
        <v>69.95</v>
      </c>
      <c r="F26" s="489">
        <v>0.25</v>
      </c>
      <c r="G26" s="499">
        <v>60.34</v>
      </c>
      <c r="H26" s="501">
        <v>6.0999999999999999E-2</v>
      </c>
      <c r="I26" s="619">
        <v>63.17</v>
      </c>
      <c r="J26" s="758">
        <v>0.224</v>
      </c>
      <c r="K26" s="886"/>
      <c r="L26" s="491">
        <f t="shared" si="3"/>
        <v>0</v>
      </c>
      <c r="M26" s="611"/>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91">
        <v>20</v>
      </c>
      <c r="AC26" s="688">
        <v>1025.6099999999999</v>
      </c>
      <c r="AD26" s="689">
        <v>1201.19</v>
      </c>
      <c r="AE26" s="689">
        <v>1502.56</v>
      </c>
      <c r="AF26" s="689">
        <v>1555.81</v>
      </c>
      <c r="AG26" s="689">
        <v>1553.85</v>
      </c>
      <c r="AH26" s="689">
        <v>1441.13</v>
      </c>
      <c r="AI26" s="689">
        <v>1245.4000000000001</v>
      </c>
      <c r="AJ26" s="751">
        <v>1130.95</v>
      </c>
      <c r="AK26" s="689">
        <v>985.14</v>
      </c>
      <c r="AL26" s="689">
        <v>782.74</v>
      </c>
      <c r="AM26" s="689"/>
      <c r="AN26" s="690"/>
      <c r="AO26" s="411"/>
      <c r="AP26" s="263"/>
      <c r="AQ26"/>
      <c r="AR26"/>
      <c r="AS26"/>
      <c r="AT26"/>
      <c r="AU26"/>
      <c r="AV26"/>
      <c r="AW26"/>
      <c r="AX26"/>
      <c r="AY26"/>
      <c r="AZ26"/>
      <c r="BA26"/>
      <c r="BB26"/>
      <c r="BC26"/>
      <c r="BD26"/>
      <c r="BE26"/>
    </row>
    <row r="27" spans="2:57" ht="27" customHeight="1" thickBot="1" x14ac:dyDescent="0.25">
      <c r="B27" s="492">
        <f t="shared" si="2"/>
        <v>17</v>
      </c>
      <c r="C27" s="493" t="s">
        <v>43</v>
      </c>
      <c r="D27" s="493" t="s">
        <v>78</v>
      </c>
      <c r="E27" s="488">
        <v>48.2</v>
      </c>
      <c r="F27" s="489">
        <v>0.38500000000000001</v>
      </c>
      <c r="G27" s="499">
        <v>44.46</v>
      </c>
      <c r="H27" s="501">
        <v>7.5999999999999998E-2</v>
      </c>
      <c r="I27" s="619">
        <v>46.69</v>
      </c>
      <c r="J27" s="758">
        <v>7.6999999999999999E-2</v>
      </c>
      <c r="K27" s="886" t="s">
        <v>184</v>
      </c>
      <c r="L27" s="491">
        <f t="shared" si="3"/>
        <v>0</v>
      </c>
      <c r="M27" s="611"/>
      <c r="N27" s="190">
        <v>22</v>
      </c>
      <c r="O27" s="363">
        <v>644.20000000000005</v>
      </c>
      <c r="P27" s="360">
        <v>937.36</v>
      </c>
      <c r="Q27" s="360">
        <v>1147</v>
      </c>
      <c r="R27" s="197">
        <v>1297.76</v>
      </c>
      <c r="S27" s="360">
        <v>1268</v>
      </c>
      <c r="T27" s="197">
        <v>0</v>
      </c>
      <c r="U27" s="197">
        <v>0</v>
      </c>
      <c r="V27" s="197">
        <v>0</v>
      </c>
      <c r="W27" s="197">
        <v>0</v>
      </c>
      <c r="X27" s="197">
        <v>0</v>
      </c>
      <c r="Y27" s="197">
        <v>0</v>
      </c>
      <c r="Z27" s="198">
        <v>0</v>
      </c>
      <c r="AB27" s="691">
        <v>21</v>
      </c>
      <c r="AC27" s="688">
        <v>1067.55</v>
      </c>
      <c r="AD27" s="689">
        <v>1212.49</v>
      </c>
      <c r="AE27" s="689">
        <v>1498.73</v>
      </c>
      <c r="AF27" s="689">
        <v>1554.35</v>
      </c>
      <c r="AG27" s="689">
        <v>1555.69</v>
      </c>
      <c r="AH27" s="689">
        <v>1435.08</v>
      </c>
      <c r="AI27" s="689">
        <v>1242.54</v>
      </c>
      <c r="AJ27" s="689">
        <v>1131.26</v>
      </c>
      <c r="AK27" s="689">
        <v>978.77</v>
      </c>
      <c r="AL27" s="689"/>
      <c r="AM27" s="689"/>
      <c r="AN27" s="690"/>
      <c r="AO27" s="411"/>
      <c r="AP27" s="263"/>
      <c r="AQ27"/>
      <c r="AR27"/>
      <c r="AS27"/>
      <c r="AT27"/>
      <c r="AU27"/>
      <c r="AV27"/>
      <c r="AW27"/>
      <c r="AX27"/>
      <c r="AY27"/>
      <c r="AZ27"/>
      <c r="BA27"/>
      <c r="BB27"/>
      <c r="BC27"/>
      <c r="BD27"/>
      <c r="BE27"/>
    </row>
    <row r="28" spans="2:57" ht="24" customHeight="1" thickBot="1" x14ac:dyDescent="0.25">
      <c r="B28" s="492">
        <f t="shared" si="2"/>
        <v>18</v>
      </c>
      <c r="C28" s="493" t="s">
        <v>81</v>
      </c>
      <c r="D28" s="493" t="s">
        <v>44</v>
      </c>
      <c r="E28" s="488">
        <v>136</v>
      </c>
      <c r="F28" s="489">
        <v>398.69</v>
      </c>
      <c r="G28" s="498">
        <v>127.72</v>
      </c>
      <c r="H28" s="498">
        <v>55.326999999999998</v>
      </c>
      <c r="I28" s="496">
        <v>127.77</v>
      </c>
      <c r="J28" s="761">
        <v>56.267000000000003</v>
      </c>
      <c r="K28" s="886" t="s">
        <v>187</v>
      </c>
      <c r="L28" s="491">
        <f t="shared" si="3"/>
        <v>0</v>
      </c>
      <c r="M28" s="611"/>
      <c r="N28" s="190">
        <v>23</v>
      </c>
      <c r="O28" s="363">
        <v>648.29</v>
      </c>
      <c r="P28" s="360">
        <v>945.95</v>
      </c>
      <c r="Q28" s="360">
        <v>1150</v>
      </c>
      <c r="R28" s="197">
        <v>1297.1099999999999</v>
      </c>
      <c r="S28" s="360">
        <v>1273</v>
      </c>
      <c r="T28" s="197">
        <v>0</v>
      </c>
      <c r="U28" s="197">
        <v>0</v>
      </c>
      <c r="V28" s="197">
        <v>0</v>
      </c>
      <c r="W28" s="197">
        <v>0</v>
      </c>
      <c r="X28" s="197">
        <v>0</v>
      </c>
      <c r="Y28" s="197">
        <v>0</v>
      </c>
      <c r="Z28" s="198">
        <v>0</v>
      </c>
      <c r="AB28" s="691">
        <v>22</v>
      </c>
      <c r="AC28" s="688">
        <v>1111.53</v>
      </c>
      <c r="AD28" s="689">
        <v>1222.04</v>
      </c>
      <c r="AE28" s="689">
        <v>1485.6</v>
      </c>
      <c r="AF28" s="689">
        <v>1544.87</v>
      </c>
      <c r="AG28" s="689">
        <v>1559.03</v>
      </c>
      <c r="AH28" s="689">
        <v>1432.41</v>
      </c>
      <c r="AI28" s="689">
        <v>1237.54</v>
      </c>
      <c r="AJ28" s="689">
        <v>1129.81</v>
      </c>
      <c r="AK28" s="689">
        <v>975.93</v>
      </c>
      <c r="AL28" s="689"/>
      <c r="AM28" s="689"/>
      <c r="AN28" s="690"/>
      <c r="AO28" s="411"/>
      <c r="AP28" s="263"/>
      <c r="AQ28"/>
      <c r="AR28"/>
      <c r="AS28"/>
      <c r="AT28"/>
      <c r="AU28"/>
      <c r="AV28"/>
      <c r="AW28"/>
      <c r="AX28"/>
      <c r="AY28"/>
      <c r="AZ28"/>
      <c r="BA28"/>
      <c r="BB28"/>
      <c r="BC28"/>
      <c r="BD28"/>
      <c r="BE28"/>
    </row>
    <row r="29" spans="2:57" ht="27" customHeight="1" thickBot="1" x14ac:dyDescent="0.25">
      <c r="B29" s="492">
        <f t="shared" si="2"/>
        <v>19</v>
      </c>
      <c r="C29" s="493" t="s">
        <v>331</v>
      </c>
      <c r="D29" s="493" t="s">
        <v>44</v>
      </c>
      <c r="E29" s="488">
        <v>189</v>
      </c>
      <c r="F29" s="489">
        <v>25</v>
      </c>
      <c r="G29" s="498">
        <v>176.32</v>
      </c>
      <c r="H29" s="498">
        <v>10.382</v>
      </c>
      <c r="I29" s="496">
        <v>182.57</v>
      </c>
      <c r="J29" s="761">
        <v>20.376000000000001</v>
      </c>
      <c r="K29" s="886" t="s">
        <v>187</v>
      </c>
      <c r="L29" s="491">
        <f t="shared" si="3"/>
        <v>0</v>
      </c>
      <c r="M29" s="611"/>
      <c r="N29" s="190">
        <v>24</v>
      </c>
      <c r="O29" s="363">
        <v>651.52</v>
      </c>
      <c r="P29" s="360">
        <v>956.63</v>
      </c>
      <c r="Q29" s="360">
        <v>1160</v>
      </c>
      <c r="R29" s="197">
        <v>1296.8900000000001</v>
      </c>
      <c r="S29" s="360">
        <v>1268.77</v>
      </c>
      <c r="T29" s="197">
        <v>0</v>
      </c>
      <c r="U29" s="197">
        <v>0</v>
      </c>
      <c r="V29" s="197">
        <v>0</v>
      </c>
      <c r="W29" s="197">
        <v>0</v>
      </c>
      <c r="X29" s="197">
        <v>0</v>
      </c>
      <c r="Y29" s="197">
        <v>0</v>
      </c>
      <c r="Z29" s="198">
        <v>0</v>
      </c>
      <c r="AB29" s="691">
        <v>23</v>
      </c>
      <c r="AC29" s="688">
        <v>1133.1500000000001</v>
      </c>
      <c r="AD29" s="689">
        <v>1229.23</v>
      </c>
      <c r="AE29" s="689">
        <v>1495.63</v>
      </c>
      <c r="AF29" s="689">
        <v>1543.42</v>
      </c>
      <c r="AG29" s="689">
        <v>1567.07</v>
      </c>
      <c r="AH29" s="689">
        <v>1425.76</v>
      </c>
      <c r="AI29" s="689">
        <v>1231.94</v>
      </c>
      <c r="AJ29" s="689">
        <v>1126.08</v>
      </c>
      <c r="AK29" s="689">
        <v>969.88</v>
      </c>
      <c r="AL29" s="689"/>
      <c r="AM29" s="689"/>
      <c r="AN29" s="690"/>
      <c r="AO29" s="411"/>
      <c r="AP29" s="263"/>
      <c r="AQ29"/>
      <c r="AR29"/>
      <c r="AS29"/>
      <c r="AT29"/>
      <c r="AU29"/>
      <c r="AV29"/>
      <c r="AW29"/>
      <c r="AX29"/>
      <c r="AY29"/>
      <c r="AZ29"/>
      <c r="BA29"/>
      <c r="BB29"/>
      <c r="BC29"/>
      <c r="BD29"/>
      <c r="BE29"/>
    </row>
    <row r="30" spans="2:57" ht="39" customHeight="1" thickBot="1" x14ac:dyDescent="0.25">
      <c r="B30" s="492">
        <f t="shared" si="2"/>
        <v>20</v>
      </c>
      <c r="C30" s="493" t="s">
        <v>45</v>
      </c>
      <c r="D30" s="493" t="s">
        <v>44</v>
      </c>
      <c r="E30" s="488">
        <v>113.5</v>
      </c>
      <c r="F30" s="489">
        <v>2.3410000000000002</v>
      </c>
      <c r="G30" s="498">
        <v>106.04</v>
      </c>
      <c r="H30" s="498">
        <v>0.13400000000000001</v>
      </c>
      <c r="I30" s="504">
        <v>103</v>
      </c>
      <c r="J30" s="761">
        <v>0</v>
      </c>
      <c r="K30" s="886" t="s">
        <v>187</v>
      </c>
      <c r="L30" s="713" t="s">
        <v>347</v>
      </c>
      <c r="M30" s="611"/>
      <c r="N30" s="190">
        <v>25</v>
      </c>
      <c r="O30" s="363">
        <v>650.16999999999996</v>
      </c>
      <c r="P30" s="360">
        <v>970.67</v>
      </c>
      <c r="Q30" s="360">
        <v>1165</v>
      </c>
      <c r="R30" s="197">
        <v>1298.76</v>
      </c>
      <c r="S30" s="360">
        <v>1269.49</v>
      </c>
      <c r="T30" s="197">
        <v>0</v>
      </c>
      <c r="U30" s="197">
        <v>0</v>
      </c>
      <c r="V30" s="197">
        <v>0</v>
      </c>
      <c r="W30" s="197">
        <v>0</v>
      </c>
      <c r="X30" s="197">
        <v>0</v>
      </c>
      <c r="Y30" s="197">
        <v>0</v>
      </c>
      <c r="Z30" s="198">
        <v>0</v>
      </c>
      <c r="AB30" s="691">
        <v>24</v>
      </c>
      <c r="AC30" s="688">
        <v>1148.6600000000001</v>
      </c>
      <c r="AD30" s="689">
        <v>1240.01</v>
      </c>
      <c r="AE30" s="689">
        <v>1495.2</v>
      </c>
      <c r="AF30" s="689">
        <v>1543.72</v>
      </c>
      <c r="AG30" s="689">
        <v>1562.83</v>
      </c>
      <c r="AH30" s="689">
        <v>1409.18</v>
      </c>
      <c r="AI30" s="689">
        <v>1225.52</v>
      </c>
      <c r="AJ30" s="689">
        <v>1122.75</v>
      </c>
      <c r="AK30" s="689">
        <v>960.11</v>
      </c>
      <c r="AL30" s="689"/>
      <c r="AM30" s="689"/>
      <c r="AN30" s="690"/>
      <c r="AO30" s="411"/>
      <c r="AP30" s="263"/>
      <c r="AQ30"/>
      <c r="AR30"/>
      <c r="AS30"/>
      <c r="AT30" s="264"/>
      <c r="AU30"/>
      <c r="AV30"/>
      <c r="AW30"/>
      <c r="AX30"/>
      <c r="AY30"/>
      <c r="AZ30"/>
      <c r="BA30"/>
      <c r="BB30"/>
      <c r="BC30"/>
      <c r="BD30"/>
      <c r="BE30"/>
    </row>
    <row r="31" spans="2:57" ht="24.75" customHeight="1" thickBot="1" x14ac:dyDescent="0.25">
      <c r="B31" s="492">
        <f t="shared" si="2"/>
        <v>21</v>
      </c>
      <c r="C31" s="493" t="s">
        <v>46</v>
      </c>
      <c r="D31" s="493" t="s">
        <v>44</v>
      </c>
      <c r="E31" s="488">
        <v>225.4</v>
      </c>
      <c r="F31" s="488">
        <v>0.32300000000000001</v>
      </c>
      <c r="G31" s="498">
        <v>200.81</v>
      </c>
      <c r="H31" s="498">
        <v>6.3E-2</v>
      </c>
      <c r="I31" s="496">
        <v>200.52</v>
      </c>
      <c r="J31" s="761">
        <v>0.05</v>
      </c>
      <c r="K31" s="886" t="s">
        <v>187</v>
      </c>
      <c r="L31" s="491">
        <f t="shared" si="3"/>
        <v>0</v>
      </c>
      <c r="M31" s="611"/>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91">
        <v>25</v>
      </c>
      <c r="AC31" s="688">
        <v>1141.26</v>
      </c>
      <c r="AD31" s="689">
        <v>1274.05</v>
      </c>
      <c r="AE31" s="689">
        <v>1506.35</v>
      </c>
      <c r="AF31" s="689">
        <v>1530.77</v>
      </c>
      <c r="AG31" s="689">
        <v>1569.1</v>
      </c>
      <c r="AH31" s="689">
        <v>1397.06</v>
      </c>
      <c r="AI31" s="689">
        <v>1220.98</v>
      </c>
      <c r="AJ31" s="689">
        <v>1122.6500000000001</v>
      </c>
      <c r="AK31" s="689">
        <v>953.02</v>
      </c>
      <c r="AL31" s="689"/>
      <c r="AM31" s="689"/>
      <c r="AN31" s="690"/>
      <c r="AO31" s="411"/>
      <c r="AP31" s="263"/>
      <c r="AQ31"/>
      <c r="AR31"/>
      <c r="AS31"/>
      <c r="AT31" s="264"/>
      <c r="AU31"/>
      <c r="AV31"/>
      <c r="AW31"/>
      <c r="AX31"/>
      <c r="AY31"/>
      <c r="AZ31"/>
      <c r="BA31"/>
      <c r="BB31"/>
      <c r="BC31"/>
      <c r="BD31"/>
      <c r="BE31"/>
    </row>
    <row r="32" spans="2:57" ht="24" customHeight="1" thickBot="1" x14ac:dyDescent="0.25">
      <c r="B32" s="492">
        <f t="shared" si="2"/>
        <v>22</v>
      </c>
      <c r="C32" s="493" t="s">
        <v>47</v>
      </c>
      <c r="D32" s="493" t="s">
        <v>44</v>
      </c>
      <c r="E32" s="488">
        <v>224</v>
      </c>
      <c r="F32" s="489">
        <v>0.42899999999999999</v>
      </c>
      <c r="G32" s="498">
        <v>218.01</v>
      </c>
      <c r="H32" s="498">
        <v>6.5000000000000002E-2</v>
      </c>
      <c r="I32" s="504">
        <v>221.92</v>
      </c>
      <c r="J32" s="762">
        <v>0.26700000000000002</v>
      </c>
      <c r="K32" s="886" t="s">
        <v>187</v>
      </c>
      <c r="L32" s="491">
        <f t="shared" si="3"/>
        <v>0</v>
      </c>
      <c r="M32" s="611"/>
      <c r="N32" s="190">
        <v>27</v>
      </c>
      <c r="O32" s="363">
        <v>666.04</v>
      </c>
      <c r="P32" s="360">
        <v>998.34</v>
      </c>
      <c r="Q32" s="360">
        <v>1182</v>
      </c>
      <c r="R32" s="197">
        <v>1292.3699999999999</v>
      </c>
      <c r="S32" s="360">
        <v>1273.3</v>
      </c>
      <c r="T32" s="197">
        <v>0</v>
      </c>
      <c r="U32" s="197">
        <v>0</v>
      </c>
      <c r="V32" s="197">
        <v>0</v>
      </c>
      <c r="W32" s="197">
        <v>0</v>
      </c>
      <c r="X32" s="197">
        <v>0</v>
      </c>
      <c r="Y32" s="197">
        <v>0</v>
      </c>
      <c r="Z32" s="198">
        <v>0</v>
      </c>
      <c r="AB32" s="692">
        <v>26</v>
      </c>
      <c r="AC32" s="688">
        <v>1135.82</v>
      </c>
      <c r="AD32" s="689">
        <v>1304.28</v>
      </c>
      <c r="AE32" s="689">
        <v>1504.13</v>
      </c>
      <c r="AF32" s="689">
        <v>1523.26</v>
      </c>
      <c r="AG32" s="689">
        <v>1571.8</v>
      </c>
      <c r="AH32" s="689">
        <v>1389.03</v>
      </c>
      <c r="AI32" s="689">
        <v>1212.8800000000001</v>
      </c>
      <c r="AJ32" s="689">
        <v>1117.6500000000001</v>
      </c>
      <c r="AK32" s="689">
        <v>949.73</v>
      </c>
      <c r="AL32" s="689"/>
      <c r="AM32" s="689"/>
      <c r="AN32" s="690"/>
      <c r="AO32" s="411"/>
      <c r="AP32" s="263"/>
      <c r="AQ32"/>
      <c r="AR32"/>
      <c r="AS32"/>
      <c r="AT32" s="264"/>
      <c r="AU32"/>
      <c r="AV32"/>
      <c r="AW32"/>
      <c r="AX32"/>
      <c r="AY32"/>
      <c r="AZ32"/>
      <c r="BA32"/>
      <c r="BB32"/>
      <c r="BC32"/>
      <c r="BD32"/>
      <c r="BE32"/>
    </row>
    <row r="33" spans="2:57" ht="24" customHeight="1" thickBot="1" x14ac:dyDescent="0.25">
      <c r="B33" s="492">
        <f t="shared" si="2"/>
        <v>23</v>
      </c>
      <c r="C33" s="493" t="s">
        <v>48</v>
      </c>
      <c r="D33" s="493" t="s">
        <v>44</v>
      </c>
      <c r="E33" s="488">
        <v>196</v>
      </c>
      <c r="F33" s="489">
        <v>0.77100000000000002</v>
      </c>
      <c r="G33" s="498">
        <v>190.7</v>
      </c>
      <c r="H33" s="496">
        <v>6.4000000000000001E-2</v>
      </c>
      <c r="I33" s="504">
        <v>191.45</v>
      </c>
      <c r="J33" s="761">
        <v>0.11600000000000001</v>
      </c>
      <c r="K33" s="886" t="s">
        <v>187</v>
      </c>
      <c r="L33" s="491">
        <f t="shared" si="3"/>
        <v>0</v>
      </c>
      <c r="M33" s="611"/>
      <c r="N33" s="190">
        <v>28</v>
      </c>
      <c r="O33" s="363">
        <v>678.45</v>
      </c>
      <c r="P33" s="360">
        <v>1019.22</v>
      </c>
      <c r="Q33" s="360">
        <v>1187.53</v>
      </c>
      <c r="R33" s="197">
        <v>1289.74</v>
      </c>
      <c r="S33" s="360">
        <v>1276</v>
      </c>
      <c r="T33" s="197">
        <v>0</v>
      </c>
      <c r="U33" s="197">
        <v>0</v>
      </c>
      <c r="V33" s="197">
        <v>0</v>
      </c>
      <c r="W33" s="197">
        <v>0</v>
      </c>
      <c r="X33" s="197">
        <v>0</v>
      </c>
      <c r="Y33" s="197">
        <v>0</v>
      </c>
      <c r="Z33" s="198">
        <v>0</v>
      </c>
      <c r="AB33" s="691">
        <v>27</v>
      </c>
      <c r="AC33" s="688">
        <v>1133.43</v>
      </c>
      <c r="AD33" s="689">
        <v>1325.28</v>
      </c>
      <c r="AE33" s="689">
        <v>1511.05</v>
      </c>
      <c r="AF33" s="689">
        <v>1517.72</v>
      </c>
      <c r="AG33" s="689">
        <v>1559.69</v>
      </c>
      <c r="AH33" s="689">
        <v>1377.44</v>
      </c>
      <c r="AI33" s="689">
        <v>1207.72</v>
      </c>
      <c r="AJ33" s="689">
        <v>1106.8</v>
      </c>
      <c r="AK33" s="689">
        <v>943.86</v>
      </c>
      <c r="AL33" s="689"/>
      <c r="AM33" s="689"/>
      <c r="AN33" s="690"/>
      <c r="AO33" s="411"/>
      <c r="AP33" s="263"/>
      <c r="AQ33"/>
      <c r="AR33"/>
      <c r="AS33"/>
      <c r="AT33" s="264"/>
      <c r="AU33"/>
      <c r="AV33"/>
      <c r="AW33"/>
      <c r="AX33"/>
      <c r="AY33"/>
      <c r="AZ33"/>
      <c r="BA33"/>
      <c r="BB33"/>
      <c r="BC33"/>
      <c r="BD33"/>
      <c r="BE33"/>
    </row>
    <row r="34" spans="2:57" ht="24.75" customHeight="1" thickBot="1" x14ac:dyDescent="0.25">
      <c r="B34" s="492">
        <f t="shared" si="2"/>
        <v>24</v>
      </c>
      <c r="C34" s="493" t="s">
        <v>49</v>
      </c>
      <c r="D34" s="493" t="s">
        <v>44</v>
      </c>
      <c r="E34" s="488">
        <v>174</v>
      </c>
      <c r="F34" s="489">
        <v>0.32500000000000001</v>
      </c>
      <c r="G34" s="498">
        <v>162.18</v>
      </c>
      <c r="H34" s="498">
        <v>0.02</v>
      </c>
      <c r="I34" s="504">
        <v>163.94</v>
      </c>
      <c r="J34" s="761">
        <v>0.127</v>
      </c>
      <c r="K34" s="886" t="s">
        <v>187</v>
      </c>
      <c r="L34" s="713"/>
      <c r="M34" s="611"/>
      <c r="N34" s="190">
        <v>29</v>
      </c>
      <c r="O34" s="363">
        <v>681.5</v>
      </c>
      <c r="P34" s="360">
        <v>1032.74</v>
      </c>
      <c r="Q34" s="360">
        <v>1187</v>
      </c>
      <c r="R34" s="197">
        <v>1295.45</v>
      </c>
      <c r="S34" s="360">
        <v>1272</v>
      </c>
      <c r="T34" s="197">
        <v>0</v>
      </c>
      <c r="U34" s="197">
        <v>0</v>
      </c>
      <c r="V34" s="197">
        <v>0</v>
      </c>
      <c r="W34" s="197">
        <v>0</v>
      </c>
      <c r="X34" s="197">
        <v>0</v>
      </c>
      <c r="Y34" s="197">
        <v>0</v>
      </c>
      <c r="Z34" s="198">
        <v>0</v>
      </c>
      <c r="AB34" s="691">
        <v>28</v>
      </c>
      <c r="AC34" s="688">
        <v>1149.1500000000001</v>
      </c>
      <c r="AD34" s="689">
        <v>1350.08</v>
      </c>
      <c r="AE34" s="689">
        <v>1509.02</v>
      </c>
      <c r="AF34" s="689">
        <v>1512.69</v>
      </c>
      <c r="AG34" s="689">
        <v>1554.69</v>
      </c>
      <c r="AH34" s="689">
        <v>1367.06</v>
      </c>
      <c r="AI34" s="689">
        <v>1203.99</v>
      </c>
      <c r="AJ34" s="689">
        <v>1098</v>
      </c>
      <c r="AK34" s="689">
        <v>934.47</v>
      </c>
      <c r="AL34" s="689"/>
      <c r="AM34" s="689"/>
      <c r="AN34" s="690"/>
      <c r="AO34" s="411"/>
      <c r="AP34" s="263"/>
      <c r="AQ34"/>
      <c r="AR34"/>
      <c r="AS34"/>
      <c r="AT34" s="264"/>
      <c r="AU34"/>
      <c r="AV34"/>
      <c r="AW34"/>
      <c r="AX34"/>
      <c r="AY34"/>
      <c r="AZ34"/>
      <c r="BA34"/>
      <c r="BB34"/>
      <c r="BC34"/>
      <c r="BD34"/>
      <c r="BE34"/>
    </row>
    <row r="35" spans="2:57" ht="27" customHeight="1" thickBot="1" x14ac:dyDescent="0.25">
      <c r="B35" s="492">
        <f t="shared" si="2"/>
        <v>25</v>
      </c>
      <c r="C35" s="487" t="s">
        <v>50</v>
      </c>
      <c r="D35" s="487" t="s">
        <v>44</v>
      </c>
      <c r="E35" s="494">
        <v>229.1</v>
      </c>
      <c r="F35" s="495">
        <v>0.71399999999999997</v>
      </c>
      <c r="G35" s="505">
        <v>220.3</v>
      </c>
      <c r="H35" s="505">
        <v>7.8E-2</v>
      </c>
      <c r="I35" s="506">
        <v>221.82</v>
      </c>
      <c r="J35" s="763">
        <v>0.15</v>
      </c>
      <c r="K35" s="886" t="s">
        <v>187</v>
      </c>
      <c r="L35" s="491">
        <f>IF(J35=0,"Waduk Kosong",)</f>
        <v>0</v>
      </c>
      <c r="M35" s="611"/>
      <c r="N35" s="190"/>
      <c r="O35" s="363"/>
      <c r="P35" s="360"/>
      <c r="Q35" s="360"/>
      <c r="R35" s="197"/>
      <c r="S35" s="360"/>
      <c r="T35" s="197"/>
      <c r="U35" s="197"/>
      <c r="V35" s="197"/>
      <c r="W35" s="197"/>
      <c r="X35" s="197"/>
      <c r="Y35" s="197"/>
      <c r="Z35" s="198"/>
      <c r="AB35" s="691">
        <v>29</v>
      </c>
      <c r="AC35" s="688">
        <v>1156.72</v>
      </c>
      <c r="AD35" s="693"/>
      <c r="AE35" s="689">
        <v>1580.87</v>
      </c>
      <c r="AF35" s="689">
        <v>1508.58</v>
      </c>
      <c r="AG35" s="689">
        <v>1549.2</v>
      </c>
      <c r="AH35" s="689">
        <v>1361.83</v>
      </c>
      <c r="AI35" s="689">
        <v>1196.6469999999999</v>
      </c>
      <c r="AJ35" s="689">
        <v>1095.69</v>
      </c>
      <c r="AK35" s="689">
        <v>929.56</v>
      </c>
      <c r="AL35" s="689"/>
      <c r="AM35" s="689"/>
      <c r="AN35" s="690"/>
      <c r="AO35" s="411"/>
      <c r="AP35" s="263"/>
      <c r="AQ35"/>
      <c r="AR35"/>
      <c r="AS35"/>
      <c r="AT35" s="264"/>
      <c r="AU35"/>
      <c r="AV35"/>
      <c r="AW35"/>
      <c r="AX35"/>
      <c r="AY35"/>
      <c r="AZ35"/>
      <c r="BA35"/>
      <c r="BB35"/>
      <c r="BC35"/>
      <c r="BD35"/>
      <c r="BE35"/>
    </row>
    <row r="36" spans="2:57" ht="27" customHeight="1" thickBot="1" x14ac:dyDescent="0.25">
      <c r="B36" s="492">
        <f t="shared" si="2"/>
        <v>26</v>
      </c>
      <c r="C36" s="493" t="s">
        <v>51</v>
      </c>
      <c r="D36" s="493" t="s">
        <v>44</v>
      </c>
      <c r="E36" s="488">
        <v>249</v>
      </c>
      <c r="F36" s="489">
        <v>1.708</v>
      </c>
      <c r="G36" s="498">
        <v>239.7</v>
      </c>
      <c r="H36" s="498">
        <v>2.5999999999999999E-2</v>
      </c>
      <c r="I36" s="504">
        <v>240.81</v>
      </c>
      <c r="J36" s="762">
        <v>9.2999999999999999E-2</v>
      </c>
      <c r="K36" s="886" t="s">
        <v>187</v>
      </c>
      <c r="L36" s="491">
        <f>IF(J36=0,"Waduk Kosong",)</f>
        <v>0</v>
      </c>
      <c r="M36" s="719"/>
      <c r="N36" s="190">
        <v>30</v>
      </c>
      <c r="O36" s="363">
        <v>691.96</v>
      </c>
      <c r="P36" s="364"/>
      <c r="Q36" s="360">
        <v>1202.5999999999999</v>
      </c>
      <c r="R36" s="197">
        <v>1297.28</v>
      </c>
      <c r="S36" s="360">
        <v>1272</v>
      </c>
      <c r="T36" s="197">
        <v>0</v>
      </c>
      <c r="U36" s="197">
        <v>0</v>
      </c>
      <c r="V36" s="197">
        <v>0</v>
      </c>
      <c r="W36" s="197">
        <v>0</v>
      </c>
      <c r="X36" s="197">
        <v>0</v>
      </c>
      <c r="Y36" s="197">
        <v>0</v>
      </c>
      <c r="Z36" s="198">
        <v>0</v>
      </c>
      <c r="AB36" s="691">
        <v>30</v>
      </c>
      <c r="AC36" s="688">
        <v>1165.52</v>
      </c>
      <c r="AD36" s="693"/>
      <c r="AE36" s="689">
        <v>1580.6</v>
      </c>
      <c r="AF36" s="689">
        <v>1503.2</v>
      </c>
      <c r="AG36" s="689">
        <v>1539.87</v>
      </c>
      <c r="AH36" s="689">
        <v>1358.45</v>
      </c>
      <c r="AI36" s="689">
        <v>1191.982</v>
      </c>
      <c r="AJ36" s="689">
        <v>1092.49</v>
      </c>
      <c r="AK36" s="689">
        <v>954.9</v>
      </c>
      <c r="AL36" s="689"/>
      <c r="AM36" s="689"/>
      <c r="AN36" s="690"/>
      <c r="AO36" s="411"/>
      <c r="AP36" s="263"/>
      <c r="AQ36"/>
      <c r="AR36"/>
      <c r="AS36"/>
      <c r="AT36" s="264"/>
      <c r="AU36"/>
      <c r="AV36"/>
      <c r="AW36"/>
      <c r="AX36"/>
      <c r="AY36"/>
      <c r="AZ36"/>
      <c r="BA36"/>
      <c r="BB36"/>
      <c r="BC36"/>
      <c r="BD36"/>
      <c r="BE36"/>
    </row>
    <row r="37" spans="2:57" ht="27.75" customHeight="1" thickBot="1" x14ac:dyDescent="0.25">
      <c r="B37" s="492">
        <f t="shared" si="2"/>
        <v>27</v>
      </c>
      <c r="C37" s="493" t="s">
        <v>330</v>
      </c>
      <c r="D37" s="493" t="s">
        <v>82</v>
      </c>
      <c r="E37" s="488">
        <v>522</v>
      </c>
      <c r="F37" s="489">
        <v>9.15</v>
      </c>
      <c r="G37" s="498">
        <v>503.62</v>
      </c>
      <c r="H37" s="498">
        <v>3.61</v>
      </c>
      <c r="I37" s="496">
        <v>506.23</v>
      </c>
      <c r="J37" s="761">
        <v>4.2880000000000003</v>
      </c>
      <c r="K37" s="886" t="s">
        <v>187</v>
      </c>
      <c r="L37" s="491">
        <f>IF(J37=0,"Waduk Kosong",)</f>
        <v>0</v>
      </c>
      <c r="M37" s="712">
        <f>(((J39/H39)*100)/100)*F39</f>
        <v>6.0579454855195918</v>
      </c>
      <c r="N37" s="190">
        <v>31</v>
      </c>
      <c r="O37" s="363">
        <v>692.87</v>
      </c>
      <c r="P37" s="364"/>
      <c r="Q37" s="360">
        <v>1208.5</v>
      </c>
      <c r="R37" s="197"/>
      <c r="S37" s="360">
        <v>1281.28</v>
      </c>
      <c r="T37" s="197">
        <v>0</v>
      </c>
      <c r="U37" s="197">
        <v>0</v>
      </c>
      <c r="V37" s="197">
        <v>0</v>
      </c>
      <c r="W37" s="197">
        <v>0</v>
      </c>
      <c r="X37" s="197">
        <v>0</v>
      </c>
      <c r="Y37" s="197">
        <v>0</v>
      </c>
      <c r="Z37" s="198">
        <v>0</v>
      </c>
      <c r="AB37" s="691">
        <v>31</v>
      </c>
      <c r="AC37" s="688">
        <v>1160.77</v>
      </c>
      <c r="AD37" s="693"/>
      <c r="AE37" s="689">
        <v>1562.34</v>
      </c>
      <c r="AF37" s="693"/>
      <c r="AG37" s="689">
        <v>1533.57</v>
      </c>
      <c r="AH37" s="693"/>
      <c r="AI37" s="689">
        <v>1186.4799999999996</v>
      </c>
      <c r="AJ37" s="689">
        <v>1089.57</v>
      </c>
      <c r="AK37" s="693">
        <v>930.41</v>
      </c>
      <c r="AL37" s="696"/>
      <c r="AM37" s="693"/>
      <c r="AN37" s="711"/>
      <c r="AO37" s="411"/>
      <c r="AP37" s="263"/>
      <c r="AQ37"/>
      <c r="AR37"/>
      <c r="AS37"/>
      <c r="AT37" s="264"/>
      <c r="AU37"/>
      <c r="AV37"/>
      <c r="AW37"/>
      <c r="AX37"/>
      <c r="AY37"/>
      <c r="AZ37"/>
      <c r="BA37"/>
      <c r="BB37"/>
      <c r="BC37"/>
      <c r="BD37"/>
      <c r="BE37"/>
    </row>
    <row r="38" spans="2:57" ht="27" customHeight="1" thickBot="1" x14ac:dyDescent="0.25">
      <c r="B38" s="492">
        <f t="shared" si="2"/>
        <v>28</v>
      </c>
      <c r="C38" s="493" t="s">
        <v>52</v>
      </c>
      <c r="D38" s="493" t="s">
        <v>82</v>
      </c>
      <c r="E38" s="488">
        <v>164.75</v>
      </c>
      <c r="F38" s="488">
        <v>4.3979999999999997</v>
      </c>
      <c r="G38" s="498">
        <v>148.21</v>
      </c>
      <c r="H38" s="498">
        <v>2.1749999999999998</v>
      </c>
      <c r="I38" s="498">
        <v>148.76</v>
      </c>
      <c r="J38" s="762">
        <v>2.4950000000000001</v>
      </c>
      <c r="K38" s="886" t="s">
        <v>187</v>
      </c>
      <c r="L38" s="713"/>
      <c r="M38" s="714"/>
      <c r="N38" s="193"/>
      <c r="O38" s="365"/>
      <c r="P38" s="361"/>
      <c r="Q38" s="361"/>
      <c r="R38" s="200"/>
      <c r="S38" s="361"/>
      <c r="T38" s="199"/>
      <c r="U38" s="200"/>
      <c r="V38" s="200"/>
      <c r="W38" s="200"/>
      <c r="X38" s="200"/>
      <c r="Y38" s="200"/>
      <c r="Z38" s="198">
        <v>0</v>
      </c>
      <c r="AB38" s="694" t="s">
        <v>143</v>
      </c>
      <c r="AC38" s="695">
        <f t="shared" ref="AC38:AJ38" si="4">IF(AC42&gt;$BV$64,"tad",IF(AC44&gt;$BV$64,"tad",MAX(AC7:AC37)))</f>
        <v>1165.52</v>
      </c>
      <c r="AD38" s="696">
        <f t="shared" si="4"/>
        <v>1350.08</v>
      </c>
      <c r="AE38" s="697">
        <f t="shared" si="4"/>
        <v>1580.87</v>
      </c>
      <c r="AF38" s="697">
        <f t="shared" si="4"/>
        <v>1560.62</v>
      </c>
      <c r="AG38" s="697">
        <f t="shared" si="4"/>
        <v>1571.8</v>
      </c>
      <c r="AH38" s="697">
        <f t="shared" si="4"/>
        <v>1550.79</v>
      </c>
      <c r="AI38" s="697">
        <f t="shared" si="4"/>
        <v>1350.16</v>
      </c>
      <c r="AJ38" s="697">
        <f t="shared" si="4"/>
        <v>1187.1553711099998</v>
      </c>
      <c r="AK38" s="697">
        <f>IF(AK42&gt;$BV$64,"tad",IF(AK44&gt;$BV$64,"tad",MAX(AK7:AK36)))</f>
        <v>1084.05</v>
      </c>
      <c r="AL38" s="697" t="str">
        <f>IF(AL42&gt;$BV$64,"tad",IF(AL44&gt;$BV$64,"tad",MAX(AL7:AL36)))</f>
        <v>tad</v>
      </c>
      <c r="AM38" s="697" t="str">
        <f>IF(AM42&gt;$BV$64,"tad",IF(AM44&gt;$BV$64,"tad",MAX(AM7:AM36)))</f>
        <v>tad</v>
      </c>
      <c r="AN38" s="698" t="str">
        <f>IF(AN42&gt;$BV$64,"tad",IF(AN44&gt;$BV$64,"tad",MAX(AN7:AN36)))</f>
        <v>tad</v>
      </c>
      <c r="AO38" s="411"/>
      <c r="AP38" s="263"/>
      <c r="AQ38"/>
      <c r="AR38"/>
      <c r="AS38"/>
      <c r="AT38" s="264"/>
      <c r="AU38"/>
      <c r="AV38"/>
      <c r="AW38"/>
      <c r="AX38"/>
      <c r="AY38"/>
      <c r="AZ38"/>
      <c r="BA38"/>
      <c r="BB38"/>
      <c r="BC38"/>
      <c r="BD38"/>
      <c r="BE38"/>
    </row>
    <row r="39" spans="2:57" ht="27" customHeight="1" x14ac:dyDescent="0.2">
      <c r="B39" s="492">
        <f t="shared" si="2"/>
        <v>29</v>
      </c>
      <c r="C39" s="493" t="s">
        <v>53</v>
      </c>
      <c r="D39" s="493" t="s">
        <v>82</v>
      </c>
      <c r="E39" s="488">
        <v>179.1</v>
      </c>
      <c r="F39" s="489">
        <v>3.3109999999999999</v>
      </c>
      <c r="G39" s="507">
        <v>198.9</v>
      </c>
      <c r="H39" s="507">
        <v>0.58699999999999997</v>
      </c>
      <c r="I39" s="496">
        <v>200.45</v>
      </c>
      <c r="J39" s="761">
        <v>1.0740000000000001</v>
      </c>
      <c r="K39" s="886" t="s">
        <v>187</v>
      </c>
      <c r="L39" s="491">
        <f t="shared" ref="L39:L53" si="5">IF(J39=0,"Waduk Kosong",)</f>
        <v>0</v>
      </c>
      <c r="M39" s="714"/>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699" t="s">
        <v>144</v>
      </c>
      <c r="AC39" s="700">
        <f t="shared" ref="AC39:AJ39" si="7">IF(AC42&gt;$BV$64,"tad",IF(AC44&gt;$BV$64,"tad",AVERAGE(AC7:AC37)))</f>
        <v>1020.3625806451613</v>
      </c>
      <c r="AD39" s="701">
        <f t="shared" si="7"/>
        <v>1183.9517857142855</v>
      </c>
      <c r="AE39" s="701">
        <f t="shared" si="7"/>
        <v>1480.6764516129028</v>
      </c>
      <c r="AF39" s="702">
        <f t="shared" si="7"/>
        <v>1543.8313333333331</v>
      </c>
      <c r="AG39" s="702">
        <f t="shared" si="7"/>
        <v>1513.6716129032261</v>
      </c>
      <c r="AH39" s="702">
        <f t="shared" si="7"/>
        <v>1457.8303333333331</v>
      </c>
      <c r="AI39" s="702">
        <f t="shared" si="7"/>
        <v>1268.2460967741936</v>
      </c>
      <c r="AJ39" s="702">
        <f t="shared" si="7"/>
        <v>1114.8631675093548</v>
      </c>
      <c r="AK39" s="702">
        <f>IF(AK42&gt;$BV$64,"tad",IF(AK44&gt;$BV$64,"tad",AVERAGE(AK7:AK36)))</f>
        <v>999.22633333333351</v>
      </c>
      <c r="AL39" s="702" t="str">
        <f>IF(AL42&gt;$BV$64,"tad",IF(AL44&gt;$BV$64,"tad",AVERAGE(AL7:AL36)))</f>
        <v>tad</v>
      </c>
      <c r="AM39" s="702" t="str">
        <f>IF(AM42&gt;$BV$64,"tad",IF(AM44&gt;$BV$64,"tad",AVERAGE(AM7:AM36)))</f>
        <v>tad</v>
      </c>
      <c r="AN39" s="703"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92">
        <f t="shared" si="2"/>
        <v>30</v>
      </c>
      <c r="C40" s="493" t="s">
        <v>54</v>
      </c>
      <c r="D40" s="493" t="s">
        <v>83</v>
      </c>
      <c r="E40" s="488">
        <v>325.56</v>
      </c>
      <c r="F40" s="489">
        <v>0.64700000000000002</v>
      </c>
      <c r="G40" s="507">
        <v>319.63</v>
      </c>
      <c r="H40" s="507">
        <v>0.16800000000000001</v>
      </c>
      <c r="I40" s="504">
        <v>319</v>
      </c>
      <c r="J40" s="762">
        <v>0.13200000000000001</v>
      </c>
      <c r="K40" s="886" t="s">
        <v>187</v>
      </c>
      <c r="L40" s="491">
        <f t="shared" si="5"/>
        <v>0</v>
      </c>
      <c r="M40" s="714"/>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04" t="s">
        <v>145</v>
      </c>
      <c r="AC40" s="705">
        <f t="shared" ref="AC40:AJ40" si="8">IF(AC42&gt;$BV$64,"tad",IF(AC44&gt;$BV$64,"tad",MIN(AC7:AC37)))</f>
        <v>918.84</v>
      </c>
      <c r="AD40" s="706">
        <f t="shared" si="8"/>
        <v>1128.6300000000001</v>
      </c>
      <c r="AE40" s="706">
        <f t="shared" si="8"/>
        <v>1383.07</v>
      </c>
      <c r="AF40" s="707">
        <f t="shared" si="8"/>
        <v>1503.2</v>
      </c>
      <c r="AG40" s="707">
        <f t="shared" si="8"/>
        <v>1453.04</v>
      </c>
      <c r="AH40" s="707">
        <f t="shared" si="8"/>
        <v>1358.45</v>
      </c>
      <c r="AI40" s="707">
        <f t="shared" si="8"/>
        <v>1186.4799999999996</v>
      </c>
      <c r="AJ40" s="707">
        <f t="shared" si="8"/>
        <v>1084.0488003299995</v>
      </c>
      <c r="AK40" s="707">
        <f>IF(AK42&gt;$BV$64,"tad",IF(AK44&gt;$BV$64,"tad",MIN(AK7:AK36)))</f>
        <v>929.56</v>
      </c>
      <c r="AL40" s="707" t="str">
        <f>IF(AL42&gt;$BV$64,"tad",IF(AL44&gt;$BV$64,"tad",MIN(AL7:AL36)))</f>
        <v>tad</v>
      </c>
      <c r="AM40" s="707" t="str">
        <f>IF(AM42&gt;$BV$64,"tad",IF(AM44&gt;$BV$64,"tad",MIN(AM7:AM36)))</f>
        <v>tad</v>
      </c>
      <c r="AN40" s="708"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92">
        <f t="shared" si="2"/>
        <v>31</v>
      </c>
      <c r="C41" s="493" t="s">
        <v>55</v>
      </c>
      <c r="D41" s="493" t="s">
        <v>83</v>
      </c>
      <c r="E41" s="488">
        <v>129.19999999999999</v>
      </c>
      <c r="F41" s="489">
        <v>0.71</v>
      </c>
      <c r="G41" s="498">
        <v>123.91</v>
      </c>
      <c r="H41" s="498">
        <v>8.4000000000000005E-2</v>
      </c>
      <c r="I41" s="504">
        <v>124.64</v>
      </c>
      <c r="J41" s="761">
        <v>0.155</v>
      </c>
      <c r="K41" s="886" t="s">
        <v>187</v>
      </c>
      <c r="L41" s="491">
        <f t="shared" si="5"/>
        <v>0</v>
      </c>
      <c r="M41" s="714"/>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94" t="s">
        <v>146</v>
      </c>
      <c r="AC41" s="695">
        <f t="shared" ref="AC41:AN41" si="9">IF(AC42&gt;$BV$64,"tad",AVERAGE(AC7:AC21))</f>
        <v>943.76199999999994</v>
      </c>
      <c r="AD41" s="696">
        <f t="shared" si="9"/>
        <v>1142.046</v>
      </c>
      <c r="AE41" s="696">
        <f t="shared" si="9"/>
        <v>1444.7280000000001</v>
      </c>
      <c r="AF41" s="697">
        <f t="shared" si="9"/>
        <v>1551.3206666666665</v>
      </c>
      <c r="AG41" s="697">
        <f t="shared" si="9"/>
        <v>1474.7793333333334</v>
      </c>
      <c r="AH41" s="697">
        <f t="shared" si="9"/>
        <v>1503.2553333333333</v>
      </c>
      <c r="AI41" s="697">
        <f t="shared" si="9"/>
        <v>1311.75</v>
      </c>
      <c r="AJ41" s="697">
        <f t="shared" si="9"/>
        <v>1121.1579407913334</v>
      </c>
      <c r="AK41" s="697">
        <f t="shared" si="9"/>
        <v>1033.5313333333334</v>
      </c>
      <c r="AL41" s="697">
        <f t="shared" si="9"/>
        <v>879.00400000000013</v>
      </c>
      <c r="AM41" s="697" t="str">
        <f t="shared" si="9"/>
        <v>tad</v>
      </c>
      <c r="AN41" s="698" t="str">
        <f t="shared" si="9"/>
        <v>tad</v>
      </c>
      <c r="AO41" s="411"/>
      <c r="AP41" s="263"/>
      <c r="AQ41"/>
      <c r="AR41"/>
      <c r="AS41"/>
      <c r="AT41" s="264"/>
      <c r="AU41"/>
      <c r="AV41"/>
      <c r="AW41"/>
      <c r="AX41"/>
      <c r="AY41"/>
      <c r="AZ41"/>
      <c r="BA41"/>
      <c r="BB41"/>
      <c r="BC41"/>
      <c r="BD41"/>
      <c r="BE41"/>
    </row>
    <row r="42" spans="2:57" ht="27" customHeight="1" thickBot="1" x14ac:dyDescent="0.25">
      <c r="B42" s="492">
        <f t="shared" si="2"/>
        <v>32</v>
      </c>
      <c r="C42" s="493" t="s">
        <v>56</v>
      </c>
      <c r="D42" s="493" t="s">
        <v>83</v>
      </c>
      <c r="E42" s="488">
        <v>282.77999999999997</v>
      </c>
      <c r="F42" s="489">
        <v>0.48</v>
      </c>
      <c r="G42" s="498">
        <v>277.41000000000003</v>
      </c>
      <c r="H42" s="498">
        <v>5.7000000000000002E-2</v>
      </c>
      <c r="I42" s="496">
        <v>279.08</v>
      </c>
      <c r="J42" s="761">
        <v>0.13900000000000001</v>
      </c>
      <c r="K42" s="886" t="s">
        <v>187</v>
      </c>
      <c r="L42" s="491">
        <f t="shared" si="5"/>
        <v>0</v>
      </c>
      <c r="M42" s="715"/>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09" t="s">
        <v>147</v>
      </c>
      <c r="AC42" s="705">
        <f t="shared" ref="AC42:AN42" si="11">IF(AR54&gt;0,AR54,0)</f>
        <v>0</v>
      </c>
      <c r="AD42" s="706">
        <f t="shared" si="11"/>
        <v>0</v>
      </c>
      <c r="AE42" s="706">
        <f t="shared" si="11"/>
        <v>0</v>
      </c>
      <c r="AF42" s="706">
        <f t="shared" si="11"/>
        <v>0</v>
      </c>
      <c r="AG42" s="706">
        <f t="shared" si="11"/>
        <v>0</v>
      </c>
      <c r="AH42" s="706">
        <f t="shared" si="11"/>
        <v>0</v>
      </c>
      <c r="AI42" s="706">
        <f t="shared" si="11"/>
        <v>0</v>
      </c>
      <c r="AJ42" s="706">
        <f t="shared" si="11"/>
        <v>0</v>
      </c>
      <c r="AK42" s="706">
        <f t="shared" si="11"/>
        <v>0</v>
      </c>
      <c r="AL42" s="706">
        <f t="shared" si="11"/>
        <v>0</v>
      </c>
      <c r="AM42" s="706">
        <f t="shared" si="11"/>
        <v>15</v>
      </c>
      <c r="AN42" s="710">
        <f t="shared" si="11"/>
        <v>15</v>
      </c>
      <c r="AO42" s="411"/>
      <c r="AP42" s="263"/>
      <c r="AQ42"/>
      <c r="AR42"/>
      <c r="AS42"/>
      <c r="AT42" s="264"/>
      <c r="AU42"/>
      <c r="AV42"/>
      <c r="AW42"/>
      <c r="AX42"/>
      <c r="AY42"/>
      <c r="AZ42"/>
      <c r="BA42"/>
      <c r="BB42"/>
      <c r="BC42"/>
      <c r="BD42"/>
      <c r="BE42"/>
    </row>
    <row r="43" spans="2:57" ht="27" customHeight="1" thickBot="1" x14ac:dyDescent="0.25">
      <c r="B43" s="492">
        <f t="shared" si="2"/>
        <v>33</v>
      </c>
      <c r="C43" s="493" t="s">
        <v>57</v>
      </c>
      <c r="D43" s="493" t="s">
        <v>83</v>
      </c>
      <c r="E43" s="488">
        <v>99</v>
      </c>
      <c r="F43" s="489">
        <v>2.8849999999999998</v>
      </c>
      <c r="G43" s="498">
        <v>93.17</v>
      </c>
      <c r="H43" s="498">
        <v>0.192</v>
      </c>
      <c r="I43" s="504">
        <v>91.98</v>
      </c>
      <c r="J43" s="762">
        <v>3.4000000000000002E-2</v>
      </c>
      <c r="K43" s="886" t="s">
        <v>187</v>
      </c>
      <c r="L43" s="491">
        <f t="shared" si="5"/>
        <v>0</v>
      </c>
      <c r="M43" s="715"/>
      <c r="N43" s="191" t="s">
        <v>147</v>
      </c>
      <c r="O43" s="199">
        <v>0</v>
      </c>
      <c r="P43" s="199">
        <v>0</v>
      </c>
      <c r="Q43" s="199">
        <v>0</v>
      </c>
      <c r="R43" s="199">
        <v>0</v>
      </c>
      <c r="S43" s="199">
        <v>0</v>
      </c>
      <c r="T43" s="199">
        <v>0</v>
      </c>
      <c r="U43" s="199">
        <v>0</v>
      </c>
      <c r="V43" s="199">
        <v>0</v>
      </c>
      <c r="W43" s="199">
        <v>0</v>
      </c>
      <c r="X43" s="199">
        <v>0</v>
      </c>
      <c r="Y43" s="199">
        <v>0</v>
      </c>
      <c r="Z43" s="199">
        <v>0</v>
      </c>
      <c r="AB43" s="694" t="s">
        <v>148</v>
      </c>
      <c r="AC43" s="695">
        <f t="shared" ref="AC43:AJ43" si="12">IF(AC44&gt;$BV$64,"tad",AVERAGE(AC22:AC37))</f>
        <v>1092.1756249999999</v>
      </c>
      <c r="AD43" s="696">
        <f t="shared" si="12"/>
        <v>1232.3046153846153</v>
      </c>
      <c r="AE43" s="696">
        <f t="shared" si="12"/>
        <v>1514.378125</v>
      </c>
      <c r="AF43" s="696">
        <f t="shared" si="12"/>
        <v>1536.3420000000001</v>
      </c>
      <c r="AG43" s="696">
        <f t="shared" si="12"/>
        <v>1550.1331249999998</v>
      </c>
      <c r="AH43" s="696">
        <f t="shared" si="12"/>
        <v>1412.4053333333336</v>
      </c>
      <c r="AI43" s="696">
        <f t="shared" si="12"/>
        <v>1227.4611875000001</v>
      </c>
      <c r="AJ43" s="696">
        <f t="shared" si="12"/>
        <v>1108.9618175574999</v>
      </c>
      <c r="AK43" s="696">
        <f>IF(AK44&gt;$BV$64,"tad",AVERAGE(AK22:AK36))</f>
        <v>964.92133333333334</v>
      </c>
      <c r="AL43" s="696" t="str">
        <f>IF(AL44&gt;$BV$64,"tad",AVERAGE(AL22:AL36))</f>
        <v>tad</v>
      </c>
      <c r="AM43" s="696" t="str">
        <f>IF(AM44&gt;$BV$64,"tad",AVERAGE(AM22:AM36))</f>
        <v>tad</v>
      </c>
      <c r="AN43" s="711" t="str">
        <f>IF(AN44&gt;$BV$64,"tad",AVERAGE(AN22:AN36))</f>
        <v>tad</v>
      </c>
      <c r="AO43" s="411"/>
      <c r="AP43" s="263"/>
      <c r="AQ43"/>
      <c r="AR43"/>
      <c r="AS43"/>
      <c r="AT43" s="264"/>
      <c r="AU43"/>
      <c r="AV43"/>
      <c r="AW43"/>
      <c r="AX43"/>
      <c r="AY43"/>
      <c r="AZ43"/>
      <c r="BA43"/>
      <c r="BB43"/>
      <c r="BC43"/>
      <c r="BD43"/>
      <c r="BE43"/>
    </row>
    <row r="44" spans="2:57" ht="27" customHeight="1" thickBot="1" x14ac:dyDescent="0.25">
      <c r="B44" s="492">
        <f t="shared" si="2"/>
        <v>34</v>
      </c>
      <c r="C44" s="493" t="s">
        <v>58</v>
      </c>
      <c r="D44" s="493" t="s">
        <v>83</v>
      </c>
      <c r="E44" s="488">
        <v>189.7</v>
      </c>
      <c r="F44" s="488">
        <v>7.9000000000000001E-2</v>
      </c>
      <c r="G44" s="498">
        <v>187.69</v>
      </c>
      <c r="H44" s="498">
        <v>1.7999999999999999E-2</v>
      </c>
      <c r="I44" s="504">
        <v>188.58</v>
      </c>
      <c r="J44" s="762">
        <v>4.2999999999999997E-2</v>
      </c>
      <c r="K44" s="886" t="s">
        <v>187</v>
      </c>
      <c r="L44" s="713"/>
      <c r="M44" s="715"/>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09" t="s">
        <v>147</v>
      </c>
      <c r="AC44" s="705">
        <f t="shared" ref="AC44:AN44" si="13">IF(AR60&gt;0,AR60,0)</f>
        <v>0</v>
      </c>
      <c r="AD44" s="706">
        <f t="shared" si="13"/>
        <v>0</v>
      </c>
      <c r="AE44" s="706">
        <f t="shared" si="13"/>
        <v>0</v>
      </c>
      <c r="AF44" s="706">
        <f t="shared" si="13"/>
        <v>0</v>
      </c>
      <c r="AG44" s="706">
        <f t="shared" si="13"/>
        <v>0</v>
      </c>
      <c r="AH44" s="706">
        <f t="shared" si="13"/>
        <v>0</v>
      </c>
      <c r="AI44" s="706">
        <f t="shared" si="13"/>
        <v>0</v>
      </c>
      <c r="AJ44" s="706">
        <f t="shared" si="13"/>
        <v>0</v>
      </c>
      <c r="AK44" s="706">
        <f t="shared" si="13"/>
        <v>0</v>
      </c>
      <c r="AL44" s="706">
        <f t="shared" si="13"/>
        <v>11</v>
      </c>
      <c r="AM44" s="706">
        <f>IF(BB60&gt;0,BB60,0)</f>
        <v>15</v>
      </c>
      <c r="AN44" s="710">
        <f t="shared" si="13"/>
        <v>16</v>
      </c>
      <c r="AO44" s="411"/>
      <c r="AP44" s="263"/>
      <c r="AQ44"/>
      <c r="AR44"/>
      <c r="AS44"/>
      <c r="AT44" s="264"/>
      <c r="AU44"/>
      <c r="AV44"/>
      <c r="AW44"/>
      <c r="AX44"/>
      <c r="AY44"/>
      <c r="AZ44"/>
      <c r="BA44"/>
      <c r="BB44"/>
      <c r="BC44"/>
      <c r="BD44"/>
      <c r="BE44"/>
    </row>
    <row r="45" spans="2:57" ht="29.25" customHeight="1" thickBot="1" x14ac:dyDescent="0.25">
      <c r="B45" s="492">
        <f t="shared" si="2"/>
        <v>35</v>
      </c>
      <c r="C45" s="493" t="s">
        <v>59</v>
      </c>
      <c r="D45" s="493" t="s">
        <v>83</v>
      </c>
      <c r="E45" s="488">
        <v>171.19</v>
      </c>
      <c r="F45" s="489">
        <v>0.104</v>
      </c>
      <c r="G45" s="498">
        <v>168.41</v>
      </c>
      <c r="H45" s="508">
        <v>0.03</v>
      </c>
      <c r="I45" s="504">
        <v>170.08</v>
      </c>
      <c r="J45" s="762">
        <v>7.0000000000000007E-2</v>
      </c>
      <c r="K45" s="886" t="s">
        <v>187</v>
      </c>
      <c r="L45" s="713"/>
      <c r="M45" s="714"/>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92">
        <f t="shared" si="2"/>
        <v>36</v>
      </c>
      <c r="C46" s="493" t="s">
        <v>60</v>
      </c>
      <c r="D46" s="493" t="s">
        <v>84</v>
      </c>
      <c r="E46" s="488">
        <v>142.6</v>
      </c>
      <c r="F46" s="489">
        <v>9.8740000000000006</v>
      </c>
      <c r="G46" s="498">
        <v>138.08000000000001</v>
      </c>
      <c r="H46" s="498">
        <v>3.5880000000000001</v>
      </c>
      <c r="I46" s="496">
        <v>139.74</v>
      </c>
      <c r="J46" s="764">
        <v>5.0129999999999999</v>
      </c>
      <c r="K46" s="886" t="s">
        <v>187</v>
      </c>
      <c r="L46" s="491">
        <f t="shared" si="5"/>
        <v>0</v>
      </c>
      <c r="M46" s="714"/>
      <c r="AB46" s="910" t="s">
        <v>344</v>
      </c>
      <c r="AC46" s="911"/>
      <c r="AD46" s="911"/>
      <c r="AE46" s="911"/>
      <c r="AF46" s="911"/>
      <c r="AG46" s="911"/>
      <c r="AH46" s="911"/>
      <c r="AI46" s="911"/>
      <c r="AJ46" s="911"/>
      <c r="AK46" s="911"/>
      <c r="AL46" s="911"/>
      <c r="AM46" s="911"/>
      <c r="AN46" s="911"/>
      <c r="AO46" s="912"/>
      <c r="AP46" s="263"/>
      <c r="AQ46"/>
      <c r="AR46"/>
      <c r="AS46"/>
      <c r="AT46" s="264"/>
      <c r="AU46"/>
      <c r="AV46"/>
      <c r="AW46"/>
      <c r="AX46"/>
      <c r="AY46"/>
      <c r="AZ46"/>
      <c r="BA46"/>
      <c r="BB46"/>
      <c r="BC46"/>
      <c r="BD46"/>
      <c r="BE46"/>
    </row>
    <row r="47" spans="2:57" ht="27" customHeight="1" x14ac:dyDescent="0.2">
      <c r="B47" s="492">
        <f t="shared" si="2"/>
        <v>37</v>
      </c>
      <c r="C47" s="493" t="s">
        <v>61</v>
      </c>
      <c r="D47" s="493" t="s">
        <v>84</v>
      </c>
      <c r="E47" s="488">
        <v>239.5</v>
      </c>
      <c r="F47" s="489">
        <v>2.6720000000000002</v>
      </c>
      <c r="G47" s="498">
        <v>236.43</v>
      </c>
      <c r="H47" s="508">
        <v>0.96699999999999997</v>
      </c>
      <c r="I47" s="496">
        <v>238.5</v>
      </c>
      <c r="J47" s="764">
        <v>2.194</v>
      </c>
      <c r="K47" s="886" t="s">
        <v>187</v>
      </c>
      <c r="L47" s="491">
        <f t="shared" si="5"/>
        <v>0</v>
      </c>
      <c r="M47" s="714"/>
      <c r="AB47" s="772"/>
      <c r="AO47" s="773"/>
      <c r="AP47" s="263"/>
      <c r="AQ47"/>
      <c r="AR47"/>
      <c r="AS47"/>
      <c r="AT47"/>
      <c r="AU47"/>
      <c r="AV47"/>
      <c r="AW47"/>
      <c r="AX47"/>
      <c r="AY47"/>
      <c r="AZ47"/>
      <c r="BA47"/>
      <c r="BB47"/>
      <c r="BC47"/>
      <c r="BD47"/>
      <c r="BE47"/>
    </row>
    <row r="48" spans="2:57" ht="27" customHeight="1" x14ac:dyDescent="0.2">
      <c r="B48" s="492">
        <f t="shared" si="2"/>
        <v>38</v>
      </c>
      <c r="C48" s="493" t="s">
        <v>62</v>
      </c>
      <c r="D48" s="493" t="s">
        <v>85</v>
      </c>
      <c r="E48" s="488">
        <v>120.5</v>
      </c>
      <c r="F48" s="489">
        <v>3.282</v>
      </c>
      <c r="G48" s="498">
        <v>117.9</v>
      </c>
      <c r="H48" s="498">
        <v>1.456</v>
      </c>
      <c r="I48" s="496">
        <v>118.03</v>
      </c>
      <c r="J48" s="761">
        <v>1.6679999999999999</v>
      </c>
      <c r="K48" s="886" t="s">
        <v>187</v>
      </c>
      <c r="L48" s="491">
        <f t="shared" si="5"/>
        <v>0</v>
      </c>
      <c r="M48" s="714"/>
      <c r="O48" s="186"/>
      <c r="P48" s="186"/>
      <c r="Q48" s="186"/>
      <c r="R48" s="181"/>
      <c r="S48" s="186"/>
      <c r="T48" s="186"/>
      <c r="U48" s="186"/>
      <c r="V48" s="186"/>
      <c r="W48" s="186"/>
      <c r="X48" s="186"/>
      <c r="Y48" s="186"/>
      <c r="Z48" s="186"/>
      <c r="AB48" s="774"/>
      <c r="AC48" s="415"/>
      <c r="AD48" s="415"/>
      <c r="AE48" s="415"/>
      <c r="AF48" s="416"/>
      <c r="AG48" s="415"/>
      <c r="AH48" s="415"/>
      <c r="AI48" s="415"/>
      <c r="AJ48" s="415"/>
      <c r="AK48" s="415"/>
      <c r="AL48" s="415"/>
      <c r="AM48" s="415"/>
      <c r="AN48" s="415"/>
      <c r="AO48" s="773"/>
      <c r="AP48" s="263"/>
      <c r="AQ48"/>
      <c r="AR48"/>
      <c r="AS48"/>
      <c r="AT48"/>
      <c r="AU48"/>
      <c r="AV48"/>
      <c r="AW48"/>
      <c r="AX48"/>
      <c r="AY48"/>
      <c r="AZ48"/>
      <c r="BA48"/>
      <c r="BB48"/>
      <c r="BC48"/>
      <c r="BD48"/>
      <c r="BE48"/>
    </row>
    <row r="49" spans="2:57" ht="27" customHeight="1" x14ac:dyDescent="0.2">
      <c r="B49" s="492">
        <f>+B48+1</f>
        <v>39</v>
      </c>
      <c r="C49" s="493" t="s">
        <v>63</v>
      </c>
      <c r="D49" s="493" t="s">
        <v>86</v>
      </c>
      <c r="E49" s="488">
        <v>110.56</v>
      </c>
      <c r="F49" s="489">
        <v>2.75</v>
      </c>
      <c r="G49" s="498">
        <v>109.27</v>
      </c>
      <c r="H49" s="498">
        <v>1.1399999999999999</v>
      </c>
      <c r="I49" s="496">
        <v>108.16</v>
      </c>
      <c r="J49" s="761">
        <v>0.56999999999999995</v>
      </c>
      <c r="K49" s="886" t="s">
        <v>187</v>
      </c>
      <c r="L49" s="491">
        <f t="shared" si="5"/>
        <v>0</v>
      </c>
      <c r="M49" s="714"/>
      <c r="AB49" s="772"/>
      <c r="AO49" s="775"/>
      <c r="AP49" s="263"/>
      <c r="AQ49"/>
      <c r="AR49"/>
      <c r="AS49"/>
      <c r="AT49"/>
      <c r="AU49"/>
      <c r="AV49"/>
      <c r="AW49"/>
      <c r="AX49"/>
      <c r="AY49"/>
      <c r="AZ49"/>
      <c r="BA49"/>
      <c r="BB49"/>
      <c r="BC49"/>
      <c r="BD49"/>
      <c r="BE49"/>
    </row>
    <row r="50" spans="2:57" ht="27" customHeight="1" x14ac:dyDescent="0.2">
      <c r="B50" s="492">
        <f t="shared" si="2"/>
        <v>40</v>
      </c>
      <c r="C50" s="493" t="s">
        <v>64</v>
      </c>
      <c r="D50" s="493" t="s">
        <v>87</v>
      </c>
      <c r="E50" s="488">
        <v>72</v>
      </c>
      <c r="F50" s="489">
        <v>38.036000000000001</v>
      </c>
      <c r="G50" s="809">
        <v>60.96</v>
      </c>
      <c r="H50" s="810">
        <v>14.58</v>
      </c>
      <c r="I50" s="811">
        <v>65.87</v>
      </c>
      <c r="J50" s="812">
        <v>22.72</v>
      </c>
      <c r="K50" s="886" t="s">
        <v>64</v>
      </c>
      <c r="L50" s="491">
        <f t="shared" si="5"/>
        <v>0</v>
      </c>
      <c r="M50" s="616"/>
      <c r="N50" s="378"/>
      <c r="AB50" s="905"/>
      <c r="AC50" s="906"/>
      <c r="AD50" s="906"/>
      <c r="AE50" s="906"/>
      <c r="AF50" s="906"/>
      <c r="AG50" s="906"/>
      <c r="AH50" s="906"/>
      <c r="AI50" s="906"/>
      <c r="AJ50" s="906"/>
      <c r="AK50" s="906"/>
      <c r="AL50" s="906"/>
      <c r="AM50" s="906"/>
      <c r="AN50" s="906"/>
      <c r="AO50" s="907"/>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92">
        <f t="shared" si="2"/>
        <v>41</v>
      </c>
      <c r="C51" s="493" t="s">
        <v>65</v>
      </c>
      <c r="D51" s="493" t="s">
        <v>87</v>
      </c>
      <c r="E51" s="488">
        <v>185</v>
      </c>
      <c r="F51" s="489">
        <v>388.72199999999998</v>
      </c>
      <c r="G51" s="811">
        <v>170.09</v>
      </c>
      <c r="H51" s="813">
        <v>271.23</v>
      </c>
      <c r="I51" s="811">
        <v>171.47</v>
      </c>
      <c r="J51" s="812">
        <v>257.08</v>
      </c>
      <c r="K51" s="886" t="s">
        <v>346</v>
      </c>
      <c r="L51" s="491">
        <f t="shared" si="5"/>
        <v>0</v>
      </c>
      <c r="M51" s="716">
        <f>J50+J51+J52</f>
        <v>290.69153296999997</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92">
        <f t="shared" si="2"/>
        <v>42</v>
      </c>
      <c r="C52" s="493" t="s">
        <v>66</v>
      </c>
      <c r="D52" s="493" t="s">
        <v>88</v>
      </c>
      <c r="E52" s="488">
        <v>231</v>
      </c>
      <c r="F52" s="489">
        <v>23.24</v>
      </c>
      <c r="G52" s="496">
        <v>229.4</v>
      </c>
      <c r="H52" s="497">
        <v>4.7305925999999996</v>
      </c>
      <c r="I52" s="496">
        <v>230.51</v>
      </c>
      <c r="J52" s="497">
        <v>10.89153297</v>
      </c>
      <c r="K52" s="886"/>
      <c r="L52" s="491">
        <f t="shared" si="5"/>
        <v>0</v>
      </c>
      <c r="M52" s="717"/>
      <c r="AB52" s="894"/>
      <c r="AC52" s="877"/>
      <c r="AD52" s="877"/>
      <c r="AE52" s="877"/>
      <c r="AF52" s="877"/>
      <c r="AG52" s="877"/>
      <c r="AH52" s="877"/>
      <c r="AI52" s="877"/>
      <c r="AJ52" s="877"/>
      <c r="AK52" s="877"/>
      <c r="AL52" s="877"/>
      <c r="AM52" s="877"/>
      <c r="AN52" s="877"/>
      <c r="AO52" s="895"/>
      <c r="AP52" s="878"/>
      <c r="AQ52" s="896" t="s">
        <v>196</v>
      </c>
      <c r="AR52" s="271">
        <v>15</v>
      </c>
      <c r="AS52" s="271">
        <v>15</v>
      </c>
      <c r="AT52" s="271">
        <v>15</v>
      </c>
      <c r="AU52" s="271">
        <v>15</v>
      </c>
      <c r="AV52" s="271">
        <v>15</v>
      </c>
      <c r="AW52" s="271">
        <v>15</v>
      </c>
      <c r="AX52" s="271">
        <v>15</v>
      </c>
      <c r="AY52" s="271">
        <v>15</v>
      </c>
      <c r="AZ52" s="271">
        <v>15</v>
      </c>
      <c r="BA52" s="271">
        <v>15</v>
      </c>
      <c r="BB52" s="271">
        <v>15</v>
      </c>
      <c r="BC52" s="271">
        <v>15</v>
      </c>
      <c r="BD52" s="271"/>
      <c r="BE52" s="271"/>
    </row>
    <row r="53" spans="2:57" ht="27" customHeight="1" x14ac:dyDescent="0.2">
      <c r="B53" s="492">
        <f t="shared" si="2"/>
        <v>43</v>
      </c>
      <c r="C53" s="487" t="s">
        <v>210</v>
      </c>
      <c r="D53" s="487" t="s">
        <v>76</v>
      </c>
      <c r="E53" s="494">
        <v>149.30000000000001</v>
      </c>
      <c r="F53" s="495">
        <v>17.670000000000002</v>
      </c>
      <c r="G53" s="494">
        <v>141.19999999999999</v>
      </c>
      <c r="H53" s="495">
        <v>8.8000000000000007</v>
      </c>
      <c r="I53" s="494">
        <v>145.35</v>
      </c>
      <c r="J53" s="765">
        <v>12.08</v>
      </c>
      <c r="K53" s="886" t="s">
        <v>213</v>
      </c>
      <c r="L53" s="491">
        <f t="shared" si="5"/>
        <v>0</v>
      </c>
      <c r="M53" s="717"/>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15</v>
      </c>
      <c r="BA53">
        <f t="shared" si="14"/>
        <v>15</v>
      </c>
      <c r="BB53">
        <f t="shared" si="14"/>
        <v>0</v>
      </c>
      <c r="BC53">
        <f t="shared" si="14"/>
        <v>0</v>
      </c>
      <c r="BD53"/>
      <c r="BE53"/>
    </row>
    <row r="54" spans="2:57" ht="27" customHeight="1" x14ac:dyDescent="0.2">
      <c r="B54" s="492">
        <f t="shared" si="2"/>
        <v>44</v>
      </c>
      <c r="C54" s="493" t="s">
        <v>211</v>
      </c>
      <c r="D54" s="493" t="s">
        <v>80</v>
      </c>
      <c r="E54" s="488">
        <v>39</v>
      </c>
      <c r="F54" s="489">
        <v>0.47399999999999998</v>
      </c>
      <c r="G54" s="488">
        <v>36.85</v>
      </c>
      <c r="H54" s="879">
        <v>0.19600000000000001</v>
      </c>
      <c r="I54" s="621">
        <v>39</v>
      </c>
      <c r="J54" s="766">
        <v>0.254</v>
      </c>
      <c r="K54" s="886">
        <v>0.254</v>
      </c>
      <c r="L54" s="491"/>
      <c r="M54" s="718"/>
      <c r="AB54" s="418"/>
      <c r="AC54" s="411"/>
      <c r="AD54" s="411"/>
      <c r="AE54" s="411"/>
      <c r="AF54" s="411"/>
      <c r="AG54" s="411"/>
      <c r="AH54" s="411"/>
      <c r="AI54" s="411"/>
      <c r="AJ54" s="411"/>
      <c r="AK54" s="411"/>
      <c r="AL54" s="411"/>
      <c r="AM54" s="411"/>
      <c r="AN54" s="411"/>
      <c r="AO54" s="417"/>
      <c r="AP54" s="266">
        <f>COUNT(AC41:AN41)</f>
        <v>10</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0</v>
      </c>
      <c r="BA54">
        <f t="shared" si="15"/>
        <v>0</v>
      </c>
      <c r="BB54">
        <f t="shared" si="15"/>
        <v>15</v>
      </c>
      <c r="BC54">
        <f t="shared" si="15"/>
        <v>15</v>
      </c>
      <c r="BD54"/>
      <c r="BE54"/>
    </row>
    <row r="55" spans="2:57" ht="27" customHeight="1" thickBot="1" x14ac:dyDescent="0.25">
      <c r="B55" s="492">
        <f t="shared" si="2"/>
        <v>45</v>
      </c>
      <c r="C55" s="509" t="s">
        <v>212</v>
      </c>
      <c r="D55" s="509" t="s">
        <v>80</v>
      </c>
      <c r="E55" s="510">
        <v>70</v>
      </c>
      <c r="F55" s="511">
        <v>0.81699999999999995</v>
      </c>
      <c r="G55" s="510">
        <v>67.94</v>
      </c>
      <c r="H55" s="880">
        <v>0.27800000000000002</v>
      </c>
      <c r="I55" s="622">
        <v>69.599999999999994</v>
      </c>
      <c r="J55" s="767">
        <v>0.45300000000000001</v>
      </c>
      <c r="K55" s="886">
        <v>0.45300000000000001</v>
      </c>
      <c r="L55" s="491"/>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12"/>
      <c r="C56" s="513" t="s">
        <v>67</v>
      </c>
      <c r="D56" s="513"/>
      <c r="E56" s="514"/>
      <c r="F56" s="837">
        <f>SUM(F11:F55)</f>
        <v>1821.4695979999999</v>
      </c>
      <c r="G56" s="514"/>
      <c r="H56" s="515">
        <f>SUM(H11:H55)</f>
        <v>767.89059259999999</v>
      </c>
      <c r="I56" s="514"/>
      <c r="J56" s="516">
        <f>SUM(J11:J55)</f>
        <v>782.73853296999994</v>
      </c>
      <c r="K56" s="517"/>
      <c r="L56" s="518"/>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9" t="s">
        <v>68</v>
      </c>
      <c r="C57" s="520" t="s">
        <v>69</v>
      </c>
      <c r="D57" s="520"/>
      <c r="E57" s="521"/>
      <c r="F57" s="522"/>
      <c r="G57" s="523"/>
      <c r="H57" s="524">
        <v>1</v>
      </c>
      <c r="I57" s="521"/>
      <c r="J57" s="525">
        <f>IFERROR(+J56/H56,0)</f>
        <v>1.0193360102507916</v>
      </c>
      <c r="K57" s="526"/>
      <c r="L57" s="527"/>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29">
        <v>1</v>
      </c>
      <c r="G58" s="729">
        <f>+H56/F56*100%</f>
        <v>0.4215774962388365</v>
      </c>
      <c r="H58" s="729"/>
      <c r="I58" s="730">
        <f>+J56/F56</f>
        <v>0.42972912302761362</v>
      </c>
      <c r="J58" s="730"/>
      <c r="K58" s="729"/>
      <c r="L58" s="729"/>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29"/>
      <c r="G59" s="729"/>
      <c r="H59" s="729"/>
      <c r="I59" s="730"/>
      <c r="J59" s="730"/>
      <c r="K59" s="729"/>
      <c r="L59" s="729"/>
      <c r="M59" s="187"/>
      <c r="Y59" s="179" t="s">
        <v>267</v>
      </c>
      <c r="AB59" s="418"/>
      <c r="AC59" s="411"/>
      <c r="AD59" s="411"/>
      <c r="AE59" s="411"/>
      <c r="AF59" s="411"/>
      <c r="AG59" s="411"/>
      <c r="AH59" s="411"/>
      <c r="AI59" s="411"/>
      <c r="AJ59" s="411"/>
      <c r="AK59" s="411"/>
      <c r="AL59" s="411"/>
      <c r="AM59" s="411"/>
      <c r="AN59" s="411"/>
      <c r="AO59" s="417"/>
      <c r="AP59" s="266">
        <f>COUNT(AC43:AN43)</f>
        <v>9</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16</v>
      </c>
      <c r="AZ59">
        <f>COUNT(AK22:AK36)</f>
        <v>15</v>
      </c>
      <c r="BA59">
        <f>COUNT(AL22:AL36)</f>
        <v>5</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0</v>
      </c>
      <c r="AZ60">
        <f t="shared" si="17"/>
        <v>0</v>
      </c>
      <c r="BA60">
        <f t="shared" si="17"/>
        <v>11</v>
      </c>
      <c r="BB60">
        <f t="shared" si="17"/>
        <v>15</v>
      </c>
      <c r="BC60">
        <f t="shared" si="17"/>
        <v>16</v>
      </c>
      <c r="BD60"/>
      <c r="BE60"/>
    </row>
    <row r="61" spans="2:57" ht="27" customHeight="1" thickBot="1" x14ac:dyDescent="0.25">
      <c r="B61" s="283"/>
      <c r="C61" s="252"/>
      <c r="D61" s="252"/>
      <c r="E61" s="252"/>
      <c r="F61" s="485">
        <v>19</v>
      </c>
      <c r="G61" s="531" t="s">
        <v>253</v>
      </c>
      <c r="H61" s="485">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31" t="s">
        <v>20</v>
      </c>
      <c r="F62" s="732"/>
      <c r="G62" s="731" t="s">
        <v>94</v>
      </c>
      <c r="H62" s="732"/>
      <c r="I62" s="731" t="s">
        <v>22</v>
      </c>
      <c r="J62" s="732"/>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72</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53.96</v>
      </c>
      <c r="H66" s="248">
        <v>21.207999999999998</v>
      </c>
      <c r="I66" s="248">
        <v>50.28</v>
      </c>
      <c r="J66" s="248">
        <v>7.6120000000000001</v>
      </c>
      <c r="K66" s="303" t="s">
        <v>179</v>
      </c>
      <c r="L66" s="667"/>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339.51</v>
      </c>
      <c r="J67" s="289">
        <v>7.7770000000000001</v>
      </c>
      <c r="K67" s="303" t="s">
        <v>180</v>
      </c>
      <c r="L67" s="668"/>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70.16</v>
      </c>
      <c r="H68" s="289">
        <v>13.352</v>
      </c>
      <c r="I68" s="249">
        <v>70.7</v>
      </c>
      <c r="J68" s="289">
        <v>15.009</v>
      </c>
      <c r="K68" s="303" t="s">
        <v>30</v>
      </c>
      <c r="L68" s="668"/>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461.14</v>
      </c>
      <c r="J69" s="289">
        <v>17.170000000000002</v>
      </c>
      <c r="K69" s="303" t="s">
        <v>181</v>
      </c>
      <c r="L69" s="669"/>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44">
        <v>198</v>
      </c>
      <c r="H70" s="745">
        <v>2.1840000000000002</v>
      </c>
      <c r="I70" s="840">
        <v>207.01</v>
      </c>
      <c r="J70" s="842">
        <v>2.5209999999999999</v>
      </c>
      <c r="K70" s="303" t="s">
        <v>182</v>
      </c>
      <c r="L70" s="670"/>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44">
        <v>312.93</v>
      </c>
      <c r="H71" s="745">
        <v>1.8009999999999999</v>
      </c>
      <c r="I71" s="840">
        <v>312.97000000000003</v>
      </c>
      <c r="J71" s="841">
        <v>1.8049999999999999</v>
      </c>
      <c r="K71" s="303" t="s">
        <v>182</v>
      </c>
      <c r="L71" s="670"/>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44">
        <v>82</v>
      </c>
      <c r="H72" s="744">
        <v>297.44299999999998</v>
      </c>
      <c r="I72" s="843">
        <v>81.98</v>
      </c>
      <c r="J72" s="844">
        <v>296.92399999999998</v>
      </c>
      <c r="K72" s="303" t="s">
        <v>183</v>
      </c>
      <c r="L72" s="670"/>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41">
        <v>8</v>
      </c>
      <c r="C73" s="568" t="s">
        <v>332</v>
      </c>
      <c r="D73" s="568" t="s">
        <v>334</v>
      </c>
      <c r="E73" s="743">
        <v>88.5</v>
      </c>
      <c r="F73" s="743">
        <v>20.149999999999999</v>
      </c>
      <c r="G73" s="743">
        <v>83.02</v>
      </c>
      <c r="H73" s="743">
        <v>13.439</v>
      </c>
      <c r="I73" s="743">
        <v>86.14</v>
      </c>
      <c r="J73" s="743">
        <v>16.670000000000002</v>
      </c>
      <c r="K73" s="738"/>
      <c r="L73" s="671"/>
      <c r="M73" s="672">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41">
        <v>9</v>
      </c>
      <c r="C74" s="568" t="s">
        <v>333</v>
      </c>
      <c r="D74" s="568" t="s">
        <v>79</v>
      </c>
      <c r="E74" s="743">
        <v>94.27</v>
      </c>
      <c r="F74" s="743">
        <v>10.41</v>
      </c>
      <c r="G74" s="743">
        <v>91.88</v>
      </c>
      <c r="H74" s="845">
        <v>7.2279999999999998</v>
      </c>
      <c r="I74" s="845">
        <v>93.66</v>
      </c>
      <c r="J74" s="839">
        <v>9.3569999999999993</v>
      </c>
      <c r="K74" s="568"/>
      <c r="L74" s="670"/>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116.42</v>
      </c>
      <c r="H75" s="289">
        <v>0.33600000000000002</v>
      </c>
      <c r="I75" s="322">
        <v>118.17</v>
      </c>
      <c r="J75" s="848">
        <v>0.89600000000000002</v>
      </c>
      <c r="K75" s="303" t="s">
        <v>184</v>
      </c>
      <c r="L75" s="670"/>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6">
        <v>2.3530000000000002</v>
      </c>
      <c r="G76" s="744">
        <v>116.97</v>
      </c>
      <c r="H76" s="814">
        <v>0.42299999999999999</v>
      </c>
      <c r="I76" s="852">
        <v>118.82</v>
      </c>
      <c r="J76" s="848">
        <v>0.95599999999999996</v>
      </c>
      <c r="K76" s="303" t="s">
        <v>184</v>
      </c>
      <c r="L76" s="670"/>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49">
        <v>4.5999999999999996</v>
      </c>
      <c r="G77" s="744">
        <v>43.25</v>
      </c>
      <c r="H77" s="744">
        <v>2.879</v>
      </c>
      <c r="I77" s="852">
        <v>44.86</v>
      </c>
      <c r="J77" s="848">
        <v>3.2149999999999999</v>
      </c>
      <c r="K77" s="303" t="s">
        <v>185</v>
      </c>
      <c r="L77" s="670"/>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6">
        <v>2.4159999999999999</v>
      </c>
      <c r="G78" s="744">
        <v>48.37</v>
      </c>
      <c r="H78" s="744">
        <v>0.33</v>
      </c>
      <c r="I78" s="853">
        <v>50.94</v>
      </c>
      <c r="J78" s="848">
        <v>1.19</v>
      </c>
      <c r="K78" s="303" t="s">
        <v>186</v>
      </c>
      <c r="L78" s="670"/>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6">
        <v>1.093</v>
      </c>
      <c r="G79" s="744">
        <v>74.209999999999994</v>
      </c>
      <c r="H79" s="851">
        <v>0.221</v>
      </c>
      <c r="I79" s="852">
        <v>76.91</v>
      </c>
      <c r="J79" s="848">
        <v>0.56999999999999995</v>
      </c>
      <c r="K79" s="303" t="s">
        <v>184</v>
      </c>
      <c r="L79" s="670"/>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6">
        <v>0.42899999999999999</v>
      </c>
      <c r="G80" s="744">
        <v>78.010000000000005</v>
      </c>
      <c r="H80" s="814">
        <v>0.03</v>
      </c>
      <c r="I80" s="852">
        <v>80.959999999999994</v>
      </c>
      <c r="J80" s="848">
        <v>0.23</v>
      </c>
      <c r="K80" s="303" t="s">
        <v>184</v>
      </c>
      <c r="L80" s="670"/>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6">
        <v>0.25</v>
      </c>
      <c r="G81" s="744">
        <v>60.34</v>
      </c>
      <c r="H81" s="744">
        <v>6.0999999999999999E-2</v>
      </c>
      <c r="I81" s="852">
        <v>63.18</v>
      </c>
      <c r="J81" s="854">
        <v>0.16200000000000001</v>
      </c>
      <c r="K81" s="303" t="s">
        <v>184</v>
      </c>
      <c r="L81" s="673"/>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6">
        <v>0.38500000000000001</v>
      </c>
      <c r="G82" s="744">
        <v>44.46</v>
      </c>
      <c r="H82" s="814">
        <v>7.5999999999999998E-2</v>
      </c>
      <c r="I82" s="852">
        <v>46.71</v>
      </c>
      <c r="J82" s="848">
        <v>7.8E-2</v>
      </c>
      <c r="K82" s="303" t="s">
        <v>184</v>
      </c>
      <c r="L82" s="673"/>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127.72</v>
      </c>
      <c r="H83" s="249">
        <v>55.326999999999998</v>
      </c>
      <c r="I83" s="249">
        <v>127.8</v>
      </c>
      <c r="J83" s="656">
        <v>57.061</v>
      </c>
      <c r="K83" s="303" t="s">
        <v>187</v>
      </c>
      <c r="L83" s="673"/>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176.32</v>
      </c>
      <c r="H84" s="249">
        <v>10.382</v>
      </c>
      <c r="I84" s="249">
        <v>182.58</v>
      </c>
      <c r="J84" s="656">
        <v>20.395</v>
      </c>
      <c r="K84" s="303" t="s">
        <v>187</v>
      </c>
      <c r="L84" s="673"/>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106.04</v>
      </c>
      <c r="H85" s="249">
        <v>0.13400000000000001</v>
      </c>
      <c r="I85" s="249">
        <v>103</v>
      </c>
      <c r="J85" s="656">
        <v>0</v>
      </c>
      <c r="K85" s="303" t="s">
        <v>187</v>
      </c>
      <c r="L85" s="673"/>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200.81</v>
      </c>
      <c r="H86" s="249">
        <v>6.3E-2</v>
      </c>
      <c r="I86" s="250">
        <v>200.52</v>
      </c>
      <c r="J86" s="656">
        <v>0.05</v>
      </c>
      <c r="K86" s="303" t="s">
        <v>187</v>
      </c>
      <c r="L86" s="674"/>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218.01</v>
      </c>
      <c r="H87" s="249">
        <v>6.5000000000000002E-2</v>
      </c>
      <c r="I87" s="249">
        <v>221.92</v>
      </c>
      <c r="J87" s="656">
        <v>0.26700000000000002</v>
      </c>
      <c r="K87" s="303" t="s">
        <v>187</v>
      </c>
      <c r="L87" s="673"/>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190.7</v>
      </c>
      <c r="H88" s="249">
        <v>6.4000000000000001E-2</v>
      </c>
      <c r="I88" s="250">
        <v>191.41</v>
      </c>
      <c r="J88" s="657">
        <v>0.112</v>
      </c>
      <c r="K88" s="303" t="s">
        <v>187</v>
      </c>
      <c r="L88" s="673"/>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162.18</v>
      </c>
      <c r="H89" s="249">
        <v>0.02</v>
      </c>
      <c r="I89" s="250">
        <v>163.94</v>
      </c>
      <c r="J89" s="656">
        <v>0.127</v>
      </c>
      <c r="K89" s="303" t="s">
        <v>187</v>
      </c>
      <c r="L89" s="674"/>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220.3</v>
      </c>
      <c r="H90" s="249">
        <v>7.8E-2</v>
      </c>
      <c r="I90" s="250">
        <v>221.83</v>
      </c>
      <c r="J90" s="656">
        <v>0.151</v>
      </c>
      <c r="K90" s="303" t="s">
        <v>187</v>
      </c>
      <c r="L90" s="674"/>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239.7</v>
      </c>
      <c r="H91" s="248">
        <v>2.5999999999999999E-2</v>
      </c>
      <c r="I91" s="358">
        <v>240.81</v>
      </c>
      <c r="J91" s="658">
        <v>9.2999999999999999E-2</v>
      </c>
      <c r="K91" s="303" t="s">
        <v>187</v>
      </c>
      <c r="L91" s="674"/>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503.62</v>
      </c>
      <c r="H92" s="249">
        <v>3.61</v>
      </c>
      <c r="I92" s="250">
        <v>506.26</v>
      </c>
      <c r="J92" s="657">
        <v>4.2960000000000003</v>
      </c>
      <c r="K92" s="303" t="s">
        <v>187</v>
      </c>
      <c r="L92" s="673"/>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148.21</v>
      </c>
      <c r="H93" s="249">
        <v>2.1749999999999998</v>
      </c>
      <c r="I93" s="249">
        <v>148.84</v>
      </c>
      <c r="J93" s="657">
        <v>2.5369999999999999</v>
      </c>
      <c r="K93" s="303" t="s">
        <v>187</v>
      </c>
      <c r="L93" s="674"/>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198.9</v>
      </c>
      <c r="H94" s="250">
        <v>0.58699999999999997</v>
      </c>
      <c r="I94" s="249">
        <v>200.45</v>
      </c>
      <c r="J94" s="656">
        <v>1.0740000000000001</v>
      </c>
      <c r="K94" s="303" t="s">
        <v>187</v>
      </c>
      <c r="L94" s="673"/>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319.63</v>
      </c>
      <c r="H95" s="250">
        <v>0.16800000000000001</v>
      </c>
      <c r="I95" s="250">
        <v>319</v>
      </c>
      <c r="J95" s="657">
        <v>0.13200000000000001</v>
      </c>
      <c r="K95" s="303" t="s">
        <v>187</v>
      </c>
      <c r="L95" s="673"/>
      <c r="M95" s="675">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123.91</v>
      </c>
      <c r="H96" s="249">
        <v>8.4000000000000005E-2</v>
      </c>
      <c r="I96" s="250">
        <v>124.64</v>
      </c>
      <c r="J96" s="656">
        <v>0.155</v>
      </c>
      <c r="K96" s="303" t="s">
        <v>187</v>
      </c>
      <c r="L96" s="674"/>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277.41000000000003</v>
      </c>
      <c r="H97" s="249">
        <v>5.7000000000000002E-2</v>
      </c>
      <c r="I97" s="249">
        <v>279.08</v>
      </c>
      <c r="J97" s="656">
        <v>0.13900000000000001</v>
      </c>
      <c r="K97" s="303" t="s">
        <v>187</v>
      </c>
      <c r="L97" s="674"/>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93.17</v>
      </c>
      <c r="H98" s="249">
        <v>0.192</v>
      </c>
      <c r="I98" s="250">
        <v>92.25</v>
      </c>
      <c r="J98" s="657">
        <v>6.6000000000000003E-2</v>
      </c>
      <c r="K98" s="303" t="s">
        <v>187</v>
      </c>
      <c r="L98" s="674"/>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187.69</v>
      </c>
      <c r="H99" s="249">
        <v>1.7999999999999999E-2</v>
      </c>
      <c r="I99" s="250">
        <v>188.59</v>
      </c>
      <c r="J99" s="657">
        <v>4.2999999999999997E-2</v>
      </c>
      <c r="K99" s="303" t="s">
        <v>187</v>
      </c>
      <c r="L99" s="676"/>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168.41</v>
      </c>
      <c r="H100" s="289">
        <v>0.03</v>
      </c>
      <c r="I100" s="250">
        <v>170.1</v>
      </c>
      <c r="J100" s="657">
        <v>7.0000000000000007E-2</v>
      </c>
      <c r="K100" s="303" t="s">
        <v>187</v>
      </c>
      <c r="L100" s="676"/>
      <c r="M100" s="677">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138.08000000000001</v>
      </c>
      <c r="H101" s="249">
        <v>3.5880000000000001</v>
      </c>
      <c r="I101" s="249">
        <v>138.74</v>
      </c>
      <c r="J101" s="659">
        <v>5.0129999999999999</v>
      </c>
      <c r="K101" s="303" t="s">
        <v>187</v>
      </c>
      <c r="L101" s="673"/>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236.43</v>
      </c>
      <c r="H102" s="289">
        <v>0.96699999999999997</v>
      </c>
      <c r="I102" s="249">
        <v>238.18</v>
      </c>
      <c r="J102" s="659">
        <v>1.9670000000000001</v>
      </c>
      <c r="K102" s="303" t="s">
        <v>187</v>
      </c>
      <c r="L102" s="673"/>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117.9</v>
      </c>
      <c r="H103" s="249">
        <v>1.456</v>
      </c>
      <c r="I103" s="249">
        <v>118.05</v>
      </c>
      <c r="J103" s="656">
        <v>1.698</v>
      </c>
      <c r="K103" s="303" t="s">
        <v>187</v>
      </c>
      <c r="L103" s="676"/>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109.27</v>
      </c>
      <c r="H104" s="249">
        <v>1.1399999999999999</v>
      </c>
      <c r="I104" s="249">
        <v>108.13</v>
      </c>
      <c r="J104" s="656">
        <v>0.55700000000000005</v>
      </c>
      <c r="K104" s="303" t="s">
        <v>187</v>
      </c>
      <c r="L104" s="676"/>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60.96</v>
      </c>
      <c r="H105" s="289">
        <v>14.58</v>
      </c>
      <c r="I105" s="249">
        <v>65.760000000000005</v>
      </c>
      <c r="J105" s="659">
        <v>22.52</v>
      </c>
      <c r="K105" s="303" t="s">
        <v>64</v>
      </c>
      <c r="L105" s="676"/>
      <c r="M105" s="768">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170.09</v>
      </c>
      <c r="H106" s="289">
        <v>271.23</v>
      </c>
      <c r="I106" s="405">
        <v>171.6</v>
      </c>
      <c r="J106" s="664">
        <v>258.29000000000002</v>
      </c>
      <c r="K106" s="303" t="s">
        <v>340</v>
      </c>
      <c r="L106" s="678"/>
      <c r="M106" s="768">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229.41</v>
      </c>
      <c r="H107" s="289">
        <v>4.7725661700000002</v>
      </c>
      <c r="I107" s="249">
        <v>230.56</v>
      </c>
      <c r="J107" s="289">
        <v>11.22559225</v>
      </c>
      <c r="K107" s="303" t="s">
        <v>188</v>
      </c>
      <c r="L107" s="679"/>
      <c r="M107" s="893">
        <v>6.1379999999999999</v>
      </c>
      <c r="AB107" s="271"/>
      <c r="AC107" s="271"/>
      <c r="AD107" s="271"/>
      <c r="AE107" s="271"/>
      <c r="AF107" s="271"/>
      <c r="AG107" s="271"/>
      <c r="AH107" s="271"/>
      <c r="AI107" s="271"/>
      <c r="AJ107" s="271"/>
      <c r="AK107" s="271"/>
      <c r="AL107" s="271"/>
      <c r="AM107" s="271"/>
      <c r="AN107" s="271"/>
      <c r="AO107" s="271"/>
      <c r="AP107" s="878"/>
      <c r="AQ107" s="891"/>
      <c r="AR107" s="271"/>
      <c r="AS107" s="271"/>
      <c r="AT107" s="271"/>
      <c r="AU107" s="271"/>
      <c r="AV107" s="271"/>
      <c r="AW107" s="271"/>
      <c r="AX107" s="271"/>
      <c r="AY107" s="271"/>
      <c r="AZ107" s="271"/>
      <c r="BA107" s="271"/>
      <c r="BB107" s="271"/>
      <c r="BC107" s="271"/>
      <c r="BD107" s="271"/>
      <c r="BE107" s="271"/>
    </row>
    <row r="108" spans="1:57" ht="27" customHeight="1" x14ac:dyDescent="0.2">
      <c r="B108" s="288">
        <f t="shared" si="21"/>
        <v>43</v>
      </c>
      <c r="C108" s="287" t="s">
        <v>210</v>
      </c>
      <c r="D108" s="287" t="s">
        <v>76</v>
      </c>
      <c r="E108" s="307">
        <v>149.30000000000001</v>
      </c>
      <c r="F108" s="324">
        <v>17.670000000000002</v>
      </c>
      <c r="G108" s="307">
        <v>141.19999999999999</v>
      </c>
      <c r="H108" s="324">
        <v>8.8000000000000007</v>
      </c>
      <c r="I108" s="618">
        <v>145.43</v>
      </c>
      <c r="J108" s="655">
        <v>12.14</v>
      </c>
      <c r="K108" s="366" t="s">
        <v>213</v>
      </c>
      <c r="L108" s="679"/>
      <c r="M108" s="769">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36.85</v>
      </c>
      <c r="H109" s="306">
        <v>0.19600000000000001</v>
      </c>
      <c r="I109" s="882">
        <v>39</v>
      </c>
      <c r="J109" s="881">
        <v>0.254</v>
      </c>
      <c r="K109" s="366"/>
      <c r="M109" s="770">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67.94</v>
      </c>
      <c r="H110" s="308">
        <v>0.27800000000000002</v>
      </c>
      <c r="I110" s="883">
        <v>69.599999999999994</v>
      </c>
      <c r="J110" s="881">
        <v>0.45300000000000001</v>
      </c>
      <c r="K110" s="478"/>
      <c r="L110" s="304"/>
      <c r="M110" s="771">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767.93256616999997</v>
      </c>
      <c r="I111" s="310"/>
      <c r="J111" s="273">
        <f>SUM(J66:J110)</f>
        <v>783.02759224999988</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1.0196567078217365</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84" t="s">
        <v>214</v>
      </c>
      <c r="D113" s="294"/>
      <c r="E113" s="367">
        <v>1736.79</v>
      </c>
      <c r="F113" s="315">
        <v>1</v>
      </c>
      <c r="G113" s="316" t="s">
        <v>68</v>
      </c>
      <c r="H113" s="315">
        <f>+H111/F111*100%</f>
        <v>0.41886653653449629</v>
      </c>
      <c r="I113" s="317"/>
      <c r="J113" s="259">
        <f>+J111/F111</f>
        <v>0.42710007365945751</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84" t="s">
        <v>215</v>
      </c>
      <c r="D114" s="294"/>
      <c r="E114" s="325">
        <f>F111-E113</f>
        <v>96.568598000000293</v>
      </c>
      <c r="F114" s="296"/>
      <c r="G114" s="295"/>
      <c r="H114" s="296"/>
      <c r="I114" s="251"/>
      <c r="J114" s="296"/>
      <c r="K114" s="472"/>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85">
        <v>18</v>
      </c>
      <c r="G115" s="531" t="s">
        <v>253</v>
      </c>
      <c r="H115" s="485">
        <v>2025</v>
      </c>
      <c r="I115" s="639"/>
      <c r="J115" s="639"/>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31" t="s">
        <v>20</v>
      </c>
      <c r="F116" s="732"/>
      <c r="G116" s="731" t="s">
        <v>94</v>
      </c>
      <c r="H116" s="732"/>
      <c r="I116" s="733" t="s">
        <v>22</v>
      </c>
      <c r="J116" s="734"/>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40" t="s">
        <v>24</v>
      </c>
      <c r="J117" s="641"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42" t="s">
        <v>26</v>
      </c>
      <c r="J118" s="643"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44">
        <v>8</v>
      </c>
      <c r="J119" s="644">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48">
        <v>53.96</v>
      </c>
      <c r="H120" s="848">
        <v>21.207999999999998</v>
      </c>
      <c r="I120" s="848">
        <v>50.29</v>
      </c>
      <c r="J120" s="848">
        <v>7.6420000000000003</v>
      </c>
      <c r="K120" s="475"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44">
        <v>339.5</v>
      </c>
      <c r="H121" s="814">
        <v>7.77</v>
      </c>
      <c r="I121" s="744">
        <v>339.51</v>
      </c>
      <c r="J121" s="814">
        <v>7.7770000000000001</v>
      </c>
      <c r="K121" s="475"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44">
        <v>70.16</v>
      </c>
      <c r="H122" s="814">
        <v>13.352</v>
      </c>
      <c r="I122" s="744">
        <v>70.7</v>
      </c>
      <c r="J122" s="814">
        <v>15.009</v>
      </c>
      <c r="K122" s="475"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44">
        <v>461.3</v>
      </c>
      <c r="H123" s="744">
        <v>19.064</v>
      </c>
      <c r="I123" s="846">
        <v>461.11</v>
      </c>
      <c r="J123" s="814">
        <v>16.829999999999998</v>
      </c>
      <c r="K123" s="475"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44">
        <v>198</v>
      </c>
      <c r="H124" s="745">
        <v>2.1840000000000002</v>
      </c>
      <c r="I124" s="847">
        <v>207.01</v>
      </c>
      <c r="J124" s="814">
        <v>2.5209999999999999</v>
      </c>
      <c r="K124" s="475"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44">
        <v>312.93</v>
      </c>
      <c r="H125" s="745">
        <v>1.8009999999999999</v>
      </c>
      <c r="I125" s="847">
        <v>313.52999999999997</v>
      </c>
      <c r="J125" s="814">
        <v>2.0049999999999999</v>
      </c>
      <c r="K125" s="475"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44">
        <v>82</v>
      </c>
      <c r="H126" s="744">
        <v>297.44299999999998</v>
      </c>
      <c r="I126" s="847">
        <v>81.92</v>
      </c>
      <c r="J126" s="814">
        <v>295.37099999999998</v>
      </c>
      <c r="K126" s="475"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41">
        <v>8</v>
      </c>
      <c r="C127" s="568" t="s">
        <v>332</v>
      </c>
      <c r="D127" s="568" t="s">
        <v>334</v>
      </c>
      <c r="E127" s="568">
        <v>88.5</v>
      </c>
      <c r="F127" s="568">
        <v>20.149999999999999</v>
      </c>
      <c r="G127" s="743">
        <v>83.02</v>
      </c>
      <c r="H127" s="743">
        <v>13.439</v>
      </c>
      <c r="I127" s="743">
        <v>86.14</v>
      </c>
      <c r="J127" s="743">
        <v>16.670000000000002</v>
      </c>
      <c r="K127" s="569"/>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41">
        <v>9</v>
      </c>
      <c r="C128" s="568" t="s">
        <v>333</v>
      </c>
      <c r="D128" s="568" t="s">
        <v>79</v>
      </c>
      <c r="E128" s="568">
        <v>94.27</v>
      </c>
      <c r="F128" s="568">
        <v>10.41</v>
      </c>
      <c r="G128" s="743">
        <v>91.88</v>
      </c>
      <c r="H128" s="743">
        <v>7.2279999999999998</v>
      </c>
      <c r="I128" s="743">
        <v>93.66</v>
      </c>
      <c r="J128" s="743">
        <v>9.3569999999999993</v>
      </c>
      <c r="K128" s="569"/>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44">
        <v>116.42</v>
      </c>
      <c r="H129" s="814">
        <v>0.33600000000000002</v>
      </c>
      <c r="I129" s="855">
        <v>118.18</v>
      </c>
      <c r="J129" s="814">
        <v>0.89</v>
      </c>
      <c r="K129" s="475"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44">
        <v>116.97</v>
      </c>
      <c r="H130" s="814">
        <v>0.42299999999999999</v>
      </c>
      <c r="I130" s="847">
        <v>118.82</v>
      </c>
      <c r="J130" s="814">
        <v>0.95599999999999996</v>
      </c>
      <c r="K130" s="475"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44">
        <v>43.25</v>
      </c>
      <c r="H131" s="744">
        <v>2.879</v>
      </c>
      <c r="I131" s="847">
        <v>44.86</v>
      </c>
      <c r="J131" s="814">
        <v>3.2149999999999999</v>
      </c>
      <c r="K131" s="475"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44">
        <v>48.37</v>
      </c>
      <c r="H132" s="744">
        <v>0.33</v>
      </c>
      <c r="I132" s="850">
        <v>50.94</v>
      </c>
      <c r="J132" s="814">
        <v>1.19</v>
      </c>
      <c r="K132" s="475"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44">
        <v>74.209999999999994</v>
      </c>
      <c r="H133" s="851">
        <v>0.221</v>
      </c>
      <c r="I133" s="847">
        <v>76.91</v>
      </c>
      <c r="J133" s="814">
        <v>0.56999999999999995</v>
      </c>
      <c r="K133" s="475"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44">
        <v>78.010000000000005</v>
      </c>
      <c r="H134" s="814">
        <v>0.03</v>
      </c>
      <c r="I134" s="847">
        <v>80.97</v>
      </c>
      <c r="J134" s="814">
        <v>0.23100000000000001</v>
      </c>
      <c r="K134" s="475"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44">
        <v>60.34</v>
      </c>
      <c r="H135" s="744">
        <v>6.0999999999999999E-2</v>
      </c>
      <c r="I135" s="847">
        <v>63.18</v>
      </c>
      <c r="J135" s="814">
        <v>0.16200000000000001</v>
      </c>
      <c r="K135" s="475"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44">
        <v>44.46</v>
      </c>
      <c r="H136" s="814">
        <v>7.5999999999999998E-2</v>
      </c>
      <c r="I136" s="847">
        <v>46.81</v>
      </c>
      <c r="J136" s="814">
        <v>8.3000000000000004E-2</v>
      </c>
      <c r="K136" s="475"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44">
        <v>127.72</v>
      </c>
      <c r="H137" s="744">
        <v>55.326999999999998</v>
      </c>
      <c r="I137" s="744">
        <v>127.86</v>
      </c>
      <c r="J137" s="856">
        <v>58.262999999999998</v>
      </c>
      <c r="K137" s="475"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44">
        <v>176.32</v>
      </c>
      <c r="H138" s="744">
        <v>10.382</v>
      </c>
      <c r="I138" s="744">
        <v>182.61</v>
      </c>
      <c r="J138" s="856">
        <v>20.451000000000001</v>
      </c>
      <c r="K138" s="475"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44">
        <v>106.04</v>
      </c>
      <c r="H139" s="744">
        <v>0.13400000000000001</v>
      </c>
      <c r="I139" s="744">
        <v>103</v>
      </c>
      <c r="J139" s="856">
        <v>0</v>
      </c>
      <c r="K139" s="475"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44">
        <v>200.81</v>
      </c>
      <c r="H140" s="744">
        <v>6.3E-2</v>
      </c>
      <c r="I140" s="745">
        <v>200.52</v>
      </c>
      <c r="J140" s="856">
        <v>0.05</v>
      </c>
      <c r="K140" s="475"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44">
        <v>218.01</v>
      </c>
      <c r="H141" s="744">
        <v>6.5000000000000002E-2</v>
      </c>
      <c r="I141" s="744">
        <v>221.93</v>
      </c>
      <c r="J141" s="856">
        <v>0.26700000000000002</v>
      </c>
      <c r="K141" s="475"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44">
        <v>190.7</v>
      </c>
      <c r="H142" s="744">
        <v>6.4000000000000001E-2</v>
      </c>
      <c r="I142" s="745">
        <v>191.43</v>
      </c>
      <c r="J142" s="857">
        <v>0.114</v>
      </c>
      <c r="K142" s="475"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44">
        <v>162.18</v>
      </c>
      <c r="H143" s="744">
        <v>0.02</v>
      </c>
      <c r="I143" s="745">
        <v>163.95</v>
      </c>
      <c r="J143" s="856">
        <v>0.128</v>
      </c>
      <c r="K143" s="475"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44">
        <v>220.3</v>
      </c>
      <c r="H144" s="744">
        <v>7.8E-2</v>
      </c>
      <c r="I144" s="745">
        <v>221.83</v>
      </c>
      <c r="J144" s="856">
        <v>0.151</v>
      </c>
      <c r="K144" s="475"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48">
        <v>239.7</v>
      </c>
      <c r="H145" s="848">
        <v>2.5999999999999999E-2</v>
      </c>
      <c r="I145" s="858">
        <v>240.81</v>
      </c>
      <c r="J145" s="859">
        <v>9.2999999999999999E-2</v>
      </c>
      <c r="K145" s="475"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44">
        <v>503.62</v>
      </c>
      <c r="H146" s="744">
        <v>3.61</v>
      </c>
      <c r="I146" s="745">
        <v>506.31</v>
      </c>
      <c r="J146" s="857">
        <v>4.3099999999999996</v>
      </c>
      <c r="K146" s="475"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44">
        <v>148.21</v>
      </c>
      <c r="H147" s="744">
        <v>2.1749999999999998</v>
      </c>
      <c r="I147" s="744">
        <v>148.94</v>
      </c>
      <c r="J147" s="857">
        <v>2.59</v>
      </c>
      <c r="K147" s="475"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45">
        <v>198.9</v>
      </c>
      <c r="H148" s="745">
        <v>0.58699999999999997</v>
      </c>
      <c r="I148" s="744">
        <v>200.48</v>
      </c>
      <c r="J148" s="856">
        <v>1.085</v>
      </c>
      <c r="K148" s="475"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45">
        <v>319.63</v>
      </c>
      <c r="H149" s="745">
        <v>0.16800000000000001</v>
      </c>
      <c r="I149" s="745">
        <v>319</v>
      </c>
      <c r="J149" s="857">
        <v>0.13200000000000001</v>
      </c>
      <c r="K149" s="475"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44">
        <v>123.91</v>
      </c>
      <c r="H150" s="744">
        <v>8.4000000000000005E-2</v>
      </c>
      <c r="I150" s="745">
        <v>124.64</v>
      </c>
      <c r="J150" s="856">
        <v>0.155</v>
      </c>
      <c r="K150" s="475"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44">
        <v>277.41000000000003</v>
      </c>
      <c r="H151" s="744">
        <v>5.7000000000000002E-2</v>
      </c>
      <c r="I151" s="744">
        <v>279.39</v>
      </c>
      <c r="J151" s="856">
        <v>0.16</v>
      </c>
      <c r="K151" s="475"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44">
        <v>93.17</v>
      </c>
      <c r="H152" s="744">
        <v>0.192</v>
      </c>
      <c r="I152" s="745">
        <v>92.5</v>
      </c>
      <c r="J152" s="857">
        <v>0.96799999999999997</v>
      </c>
      <c r="K152" s="475"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44">
        <v>187.69</v>
      </c>
      <c r="H153" s="744">
        <v>1.7999999999999999E-2</v>
      </c>
      <c r="I153" s="745">
        <v>188.59</v>
      </c>
      <c r="J153" s="857">
        <v>4.2999999999999997E-2</v>
      </c>
      <c r="K153" s="475"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44">
        <v>168.41</v>
      </c>
      <c r="H154" s="814">
        <v>0.03</v>
      </c>
      <c r="I154" s="745">
        <v>170.13</v>
      </c>
      <c r="J154" s="857">
        <v>7.0999999999999994E-2</v>
      </c>
      <c r="K154" s="475"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44">
        <v>138.08000000000001</v>
      </c>
      <c r="H155" s="744">
        <v>3.5880000000000001</v>
      </c>
      <c r="I155" s="744">
        <v>138.72999999999999</v>
      </c>
      <c r="J155" s="815">
        <v>4.9909999999999997</v>
      </c>
      <c r="K155" s="475"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44">
        <v>236.43</v>
      </c>
      <c r="H156" s="814">
        <v>0.96699999999999997</v>
      </c>
      <c r="I156" s="744">
        <v>238.18</v>
      </c>
      <c r="J156" s="815">
        <v>1.9670000000000001</v>
      </c>
      <c r="K156" s="475"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44">
        <v>117.9</v>
      </c>
      <c r="H157" s="744">
        <v>1.456</v>
      </c>
      <c r="I157" s="744">
        <v>118.04</v>
      </c>
      <c r="J157" s="856">
        <v>1.681</v>
      </c>
      <c r="K157" s="475"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44">
        <v>109.27</v>
      </c>
      <c r="H158" s="744">
        <v>1.1399999999999999</v>
      </c>
      <c r="I158" s="744">
        <v>108.14</v>
      </c>
      <c r="J158" s="856">
        <v>0.56100000000000005</v>
      </c>
      <c r="K158" s="475"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44">
        <v>60.96</v>
      </c>
      <c r="H159" s="814">
        <v>14.58</v>
      </c>
      <c r="I159" s="744">
        <v>65.75</v>
      </c>
      <c r="J159" s="815">
        <v>22.5</v>
      </c>
      <c r="K159" s="475"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44">
        <v>170.09</v>
      </c>
      <c r="H160" s="814">
        <v>271.23</v>
      </c>
      <c r="I160" s="744">
        <v>171.76</v>
      </c>
      <c r="J160" s="815">
        <v>259.79000000000002</v>
      </c>
      <c r="K160" s="475"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44">
        <v>229.43</v>
      </c>
      <c r="H161" s="814">
        <v>4.8573156300000004</v>
      </c>
      <c r="I161" s="744">
        <v>230.55</v>
      </c>
      <c r="J161" s="814">
        <v>11.158446720000001</v>
      </c>
      <c r="K161" s="475" t="s">
        <v>188</v>
      </c>
      <c r="L161" s="457"/>
      <c r="M161" s="185"/>
      <c r="AB161" s="271"/>
      <c r="AC161" s="271"/>
      <c r="AD161" s="271"/>
      <c r="AE161" s="271"/>
      <c r="AF161" s="271"/>
      <c r="AG161" s="271"/>
      <c r="AH161" s="271"/>
      <c r="AI161" s="271"/>
      <c r="AJ161" s="271"/>
      <c r="AK161" s="271"/>
      <c r="AL161" s="271"/>
      <c r="AM161" s="271"/>
      <c r="AN161" s="271"/>
      <c r="AO161" s="271"/>
      <c r="AP161" s="878"/>
      <c r="AQ161" s="891"/>
      <c r="AR161" s="271"/>
      <c r="AS161" s="271"/>
      <c r="AT161" s="271"/>
      <c r="AU161" s="271"/>
      <c r="AV161" s="271"/>
      <c r="AW161" s="271"/>
      <c r="AX161" s="271"/>
      <c r="AY161" s="271"/>
      <c r="AZ161" s="271"/>
      <c r="BA161" s="271"/>
      <c r="BB161" s="271"/>
      <c r="BC161" s="271"/>
      <c r="BD161" s="271"/>
      <c r="BE161" s="271"/>
    </row>
    <row r="162" spans="2:57" ht="27" customHeight="1" x14ac:dyDescent="0.2">
      <c r="B162" s="288">
        <f t="shared" si="31"/>
        <v>43</v>
      </c>
      <c r="C162" s="287" t="s">
        <v>210</v>
      </c>
      <c r="D162" s="287" t="s">
        <v>76</v>
      </c>
      <c r="E162" s="307">
        <v>149.30000000000001</v>
      </c>
      <c r="F162" s="324">
        <v>17.670000000000002</v>
      </c>
      <c r="G162" s="860">
        <v>141.19999999999999</v>
      </c>
      <c r="H162" s="861">
        <v>8.8000000000000007</v>
      </c>
      <c r="I162" s="860">
        <v>145.51</v>
      </c>
      <c r="J162" s="862">
        <v>12.21</v>
      </c>
      <c r="K162" s="475"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49">
        <v>36.85</v>
      </c>
      <c r="H163" s="846">
        <v>0.19600000000000001</v>
      </c>
      <c r="I163" s="863">
        <v>39</v>
      </c>
      <c r="J163" s="856">
        <v>0.254</v>
      </c>
      <c r="K163" s="475"/>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64">
        <v>67.94</v>
      </c>
      <c r="H164" s="865">
        <v>0.27800000000000002</v>
      </c>
      <c r="I164" s="847">
        <v>69.599999999999994</v>
      </c>
      <c r="J164" s="856">
        <v>0.45300000000000001</v>
      </c>
      <c r="K164" s="479"/>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768.01731562999998</v>
      </c>
      <c r="I165" s="310"/>
      <c r="J165" s="273">
        <f>SUM(J120:J164)</f>
        <v>785.07544672000006</v>
      </c>
      <c r="K165" s="473"/>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1.0222106074210155</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84" t="s">
        <v>214</v>
      </c>
      <c r="D167" s="294"/>
      <c r="E167" s="367">
        <v>1736.79</v>
      </c>
      <c r="F167" s="315">
        <v>1</v>
      </c>
      <c r="G167" s="316" t="s">
        <v>68</v>
      </c>
      <c r="H167" s="315">
        <f>+H165/F165*100%</f>
        <v>0.41891276287564549</v>
      </c>
      <c r="I167" s="317"/>
      <c r="J167" s="259">
        <f>+J165/F165</f>
        <v>0.42821706979552943</v>
      </c>
      <c r="K167" s="474"/>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84" t="s">
        <v>215</v>
      </c>
      <c r="D168" s="294"/>
      <c r="E168" s="325">
        <f>F165-E167</f>
        <v>96.568598000000293</v>
      </c>
      <c r="F168" s="296"/>
      <c r="G168" s="295"/>
      <c r="H168" s="296"/>
      <c r="I168" s="251"/>
      <c r="J168" s="296"/>
      <c r="K168" s="472"/>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85">
        <v>17</v>
      </c>
      <c r="G169" s="531" t="s">
        <v>253</v>
      </c>
      <c r="H169" s="485">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31" t="s">
        <v>20</v>
      </c>
      <c r="F170" s="732"/>
      <c r="G170" s="731" t="s">
        <v>94</v>
      </c>
      <c r="H170" s="732"/>
      <c r="I170" s="731" t="s">
        <v>22</v>
      </c>
      <c r="J170" s="732"/>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53.96</v>
      </c>
      <c r="H174" s="248">
        <v>21.207999999999998</v>
      </c>
      <c r="I174" s="631">
        <v>50.22</v>
      </c>
      <c r="J174" s="631">
        <v>7.4269999999999996</v>
      </c>
      <c r="K174" s="475"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339.55</v>
      </c>
      <c r="J175" s="650">
        <v>7.81</v>
      </c>
      <c r="K175" s="475"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70.16</v>
      </c>
      <c r="H176" s="289">
        <v>13.352</v>
      </c>
      <c r="I176" s="320">
        <v>70.66</v>
      </c>
      <c r="J176" s="650">
        <v>14.879</v>
      </c>
      <c r="K176" s="475"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6">
        <v>461.12</v>
      </c>
      <c r="J177" s="650">
        <v>16.940000000000001</v>
      </c>
      <c r="K177" s="475"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v>
      </c>
      <c r="H178" s="250">
        <v>2.1840000000000002</v>
      </c>
      <c r="I178" s="852">
        <v>207.01</v>
      </c>
      <c r="J178" s="650">
        <v>2.5209999999999999</v>
      </c>
      <c r="K178" s="475" t="s">
        <v>182</v>
      </c>
      <c r="L178" s="458"/>
      <c r="M178" s="656">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312.93</v>
      </c>
      <c r="H179" s="250">
        <v>1.8009999999999999</v>
      </c>
      <c r="I179" s="852">
        <v>313.8</v>
      </c>
      <c r="J179" s="650">
        <v>2.1019999999999999</v>
      </c>
      <c r="K179" s="475" t="s">
        <v>182</v>
      </c>
      <c r="L179" s="458"/>
      <c r="M179" s="656">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82</v>
      </c>
      <c r="H180" s="249">
        <v>297.44299999999998</v>
      </c>
      <c r="I180" s="852">
        <v>82.02</v>
      </c>
      <c r="J180" s="650">
        <v>297.96199999999999</v>
      </c>
      <c r="K180" s="475" t="s">
        <v>183</v>
      </c>
      <c r="L180" s="458"/>
      <c r="M180" s="656">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41">
        <v>8</v>
      </c>
      <c r="C181" s="568" t="s">
        <v>332</v>
      </c>
      <c r="D181" s="568" t="s">
        <v>334</v>
      </c>
      <c r="E181" s="568">
        <v>88.5</v>
      </c>
      <c r="F181" s="568">
        <v>20.149999999999999</v>
      </c>
      <c r="G181" s="743">
        <v>83.02</v>
      </c>
      <c r="H181" s="743">
        <v>13.439</v>
      </c>
      <c r="I181" s="743">
        <v>86.14</v>
      </c>
      <c r="J181" s="743">
        <v>16.670000000000002</v>
      </c>
      <c r="K181" s="739"/>
      <c r="L181" s="458"/>
      <c r="M181" s="743">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41">
        <v>9</v>
      </c>
      <c r="C182" s="568" t="s">
        <v>333</v>
      </c>
      <c r="D182" s="568" t="s">
        <v>79</v>
      </c>
      <c r="E182" s="568">
        <v>94.27</v>
      </c>
      <c r="F182" s="568">
        <v>10.41</v>
      </c>
      <c r="G182" s="743">
        <v>91.88</v>
      </c>
      <c r="H182" s="743">
        <v>7.2279999999999998</v>
      </c>
      <c r="I182" s="743">
        <v>93.66</v>
      </c>
      <c r="J182" s="743">
        <v>9.3569999999999993</v>
      </c>
      <c r="K182" s="739"/>
      <c r="L182" s="458"/>
      <c r="M182" s="742"/>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116.42</v>
      </c>
      <c r="H183" s="289">
        <v>0.33600000000000002</v>
      </c>
      <c r="I183" s="855">
        <v>118.18</v>
      </c>
      <c r="J183" s="650">
        <v>0.89</v>
      </c>
      <c r="K183" s="475" t="s">
        <v>184</v>
      </c>
      <c r="L183" s="458"/>
      <c r="M183" s="656">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116.97</v>
      </c>
      <c r="H184" s="289">
        <v>0.42299999999999999</v>
      </c>
      <c r="I184" s="852">
        <v>118.84</v>
      </c>
      <c r="J184" s="650">
        <v>0.96299999999999997</v>
      </c>
      <c r="K184" s="475" t="s">
        <v>184</v>
      </c>
      <c r="L184" s="458"/>
      <c r="M184" s="656">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43.25</v>
      </c>
      <c r="H185" s="249">
        <v>2.879</v>
      </c>
      <c r="I185" s="852">
        <v>44.86</v>
      </c>
      <c r="J185" s="650">
        <v>3.2149999999999999</v>
      </c>
      <c r="K185" s="475" t="s">
        <v>185</v>
      </c>
      <c r="L185" s="393"/>
      <c r="M185" s="661">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48.37</v>
      </c>
      <c r="H186" s="249">
        <v>0.33</v>
      </c>
      <c r="I186" s="853">
        <v>50.94</v>
      </c>
      <c r="J186" s="650">
        <v>1.19</v>
      </c>
      <c r="K186" s="475" t="s">
        <v>186</v>
      </c>
      <c r="L186" s="393"/>
      <c r="M186" s="656">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74.209999999999994</v>
      </c>
      <c r="H187" s="575">
        <v>0.221</v>
      </c>
      <c r="I187" s="852">
        <v>76.91</v>
      </c>
      <c r="J187" s="650">
        <v>0.56999999999999995</v>
      </c>
      <c r="K187" s="475" t="s">
        <v>184</v>
      </c>
      <c r="L187" s="393"/>
      <c r="M187" s="656">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78.010000000000005</v>
      </c>
      <c r="H188" s="289">
        <v>0.03</v>
      </c>
      <c r="I188" s="852">
        <v>80.98</v>
      </c>
      <c r="J188" s="650">
        <v>0.23100000000000001</v>
      </c>
      <c r="K188" s="475" t="s">
        <v>184</v>
      </c>
      <c r="L188" s="393"/>
      <c r="M188" s="656">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60.34</v>
      </c>
      <c r="H189" s="321">
        <v>6.0999999999999999E-2</v>
      </c>
      <c r="I189" s="852">
        <v>63.18</v>
      </c>
      <c r="J189" s="650">
        <v>0.16200000000000001</v>
      </c>
      <c r="K189" s="475" t="s">
        <v>184</v>
      </c>
      <c r="L189" s="393"/>
      <c r="M189" s="656">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44.46</v>
      </c>
      <c r="H190" s="289">
        <v>7.5999999999999998E-2</v>
      </c>
      <c r="I190" s="852">
        <v>46.83</v>
      </c>
      <c r="J190" s="650">
        <v>8.4000000000000005E-2</v>
      </c>
      <c r="K190" s="475" t="s">
        <v>184</v>
      </c>
      <c r="L190" s="394"/>
      <c r="M190" s="656">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127.72</v>
      </c>
      <c r="H191" s="249">
        <v>55.326999999999998</v>
      </c>
      <c r="I191" s="320">
        <v>127.97</v>
      </c>
      <c r="J191" s="651">
        <v>60.503</v>
      </c>
      <c r="K191" s="475" t="s">
        <v>187</v>
      </c>
      <c r="L191" s="393"/>
      <c r="M191" s="656">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176.32</v>
      </c>
      <c r="H192" s="249">
        <v>10.382</v>
      </c>
      <c r="I192" s="320">
        <v>182.66</v>
      </c>
      <c r="J192" s="651">
        <v>20.544</v>
      </c>
      <c r="K192" s="475" t="s">
        <v>187</v>
      </c>
      <c r="L192" s="393"/>
      <c r="M192" s="656">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106.04</v>
      </c>
      <c r="H193" s="249">
        <v>0.13400000000000001</v>
      </c>
      <c r="I193" s="320">
        <v>103</v>
      </c>
      <c r="J193" s="651">
        <v>0</v>
      </c>
      <c r="K193" s="475" t="s">
        <v>187</v>
      </c>
      <c r="L193" s="394"/>
      <c r="M193" s="656">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200.81</v>
      </c>
      <c r="H194" s="249">
        <v>6.3E-2</v>
      </c>
      <c r="I194" s="628">
        <v>200.52</v>
      </c>
      <c r="J194" s="651">
        <v>0.05</v>
      </c>
      <c r="K194" s="475" t="s">
        <v>187</v>
      </c>
      <c r="L194" s="394"/>
      <c r="M194" s="656">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218.01</v>
      </c>
      <c r="H195" s="249">
        <v>6.5000000000000002E-2</v>
      </c>
      <c r="I195" s="320">
        <v>221.93</v>
      </c>
      <c r="J195" s="651">
        <v>0.26700000000000002</v>
      </c>
      <c r="K195" s="475" t="s">
        <v>187</v>
      </c>
      <c r="L195" s="394"/>
      <c r="M195" s="656">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190.7</v>
      </c>
      <c r="H196" s="249">
        <v>6.4000000000000001E-2</v>
      </c>
      <c r="I196" s="628">
        <v>191.51</v>
      </c>
      <c r="J196" s="652">
        <v>0.121</v>
      </c>
      <c r="K196" s="475" t="s">
        <v>187</v>
      </c>
      <c r="L196" s="393"/>
      <c r="M196" s="657">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162.18</v>
      </c>
      <c r="H197" s="249">
        <v>0.02</v>
      </c>
      <c r="I197" s="628">
        <v>163.96</v>
      </c>
      <c r="J197" s="651">
        <v>0.129</v>
      </c>
      <c r="K197" s="475" t="s">
        <v>187</v>
      </c>
      <c r="L197" s="394"/>
      <c r="M197" s="656">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220.3</v>
      </c>
      <c r="H198" s="249">
        <v>7.8E-2</v>
      </c>
      <c r="I198" s="628">
        <v>221.83</v>
      </c>
      <c r="J198" s="651">
        <v>0.151</v>
      </c>
      <c r="K198" s="475" t="s">
        <v>187</v>
      </c>
      <c r="L198" s="393"/>
      <c r="M198" s="656">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239.7</v>
      </c>
      <c r="H199" s="248">
        <v>2.5999999999999999E-2</v>
      </c>
      <c r="I199" s="629">
        <v>240.81</v>
      </c>
      <c r="J199" s="653">
        <v>9.2999999999999999E-2</v>
      </c>
      <c r="K199" s="475" t="s">
        <v>187</v>
      </c>
      <c r="L199" s="393"/>
      <c r="M199" s="658">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503.62</v>
      </c>
      <c r="H200" s="249">
        <v>3.61</v>
      </c>
      <c r="I200" s="628">
        <v>506.38</v>
      </c>
      <c r="J200" s="652">
        <v>4.3289999999999997</v>
      </c>
      <c r="K200" s="475" t="s">
        <v>187</v>
      </c>
      <c r="L200" s="394"/>
      <c r="M200" s="657">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148.21</v>
      </c>
      <c r="H201" s="249">
        <v>2.1749999999999998</v>
      </c>
      <c r="I201" s="320">
        <v>149.16999999999999</v>
      </c>
      <c r="J201" s="652">
        <v>2.7210000000000001</v>
      </c>
      <c r="K201" s="475" t="s">
        <v>187</v>
      </c>
      <c r="L201" s="394"/>
      <c r="M201" s="657">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198.9</v>
      </c>
      <c r="H202" s="250">
        <v>0.58699999999999997</v>
      </c>
      <c r="I202" s="320">
        <v>200.54</v>
      </c>
      <c r="J202" s="651">
        <v>1.107</v>
      </c>
      <c r="K202" s="475" t="s">
        <v>187</v>
      </c>
      <c r="L202" s="394"/>
      <c r="M202" s="656">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319.63</v>
      </c>
      <c r="H203" s="250">
        <v>0.16800000000000001</v>
      </c>
      <c r="I203" s="628">
        <v>319.3</v>
      </c>
      <c r="J203" s="652">
        <v>0.14899999999999999</v>
      </c>
      <c r="K203" s="475" t="s">
        <v>187</v>
      </c>
      <c r="L203" s="395"/>
      <c r="M203" s="657">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123.91</v>
      </c>
      <c r="H204" s="249">
        <v>8.4000000000000005E-2</v>
      </c>
      <c r="I204" s="628">
        <v>124.64</v>
      </c>
      <c r="J204" s="651">
        <v>0.155</v>
      </c>
      <c r="K204" s="475" t="s">
        <v>187</v>
      </c>
      <c r="L204" s="395"/>
      <c r="M204" s="656">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277.41000000000003</v>
      </c>
      <c r="H205" s="249">
        <v>5.7000000000000002E-2</v>
      </c>
      <c r="I205" s="320">
        <v>279.99</v>
      </c>
      <c r="J205" s="651">
        <v>0.16</v>
      </c>
      <c r="K205" s="475" t="s">
        <v>187</v>
      </c>
      <c r="L205" s="393"/>
      <c r="M205" s="656">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93.17</v>
      </c>
      <c r="H206" s="249">
        <v>0.192</v>
      </c>
      <c r="I206" s="628">
        <v>93.03</v>
      </c>
      <c r="J206" s="652">
        <v>0.16500000000000001</v>
      </c>
      <c r="K206" s="475" t="s">
        <v>187</v>
      </c>
      <c r="L206" s="393"/>
      <c r="M206" s="657">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187.69</v>
      </c>
      <c r="H207" s="249">
        <v>1.7999999999999999E-2</v>
      </c>
      <c r="I207" s="628">
        <v>188.97</v>
      </c>
      <c r="J207" s="652">
        <v>5.8999999999999997E-2</v>
      </c>
      <c r="K207" s="475" t="s">
        <v>187</v>
      </c>
      <c r="L207" s="395"/>
      <c r="M207" s="662">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168.41</v>
      </c>
      <c r="H208" s="289">
        <v>0.03</v>
      </c>
      <c r="I208" s="628">
        <v>170.16</v>
      </c>
      <c r="J208" s="652">
        <v>7.1999999999999995E-2</v>
      </c>
      <c r="K208" s="475" t="s">
        <v>187</v>
      </c>
      <c r="L208" s="395"/>
      <c r="M208" s="657">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138.08000000000001</v>
      </c>
      <c r="H209" s="249">
        <v>3.5880000000000001</v>
      </c>
      <c r="I209" s="320">
        <v>138.74</v>
      </c>
      <c r="J209" s="654">
        <v>5.0129999999999999</v>
      </c>
      <c r="K209" s="475" t="s">
        <v>187</v>
      </c>
      <c r="L209" s="458"/>
      <c r="M209" s="659">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236.43</v>
      </c>
      <c r="H210" s="289">
        <v>0.96699999999999997</v>
      </c>
      <c r="I210" s="320">
        <v>238.08</v>
      </c>
      <c r="J210" s="654">
        <v>1.8959999999999999</v>
      </c>
      <c r="K210" s="475" t="s">
        <v>187</v>
      </c>
      <c r="L210" s="443"/>
      <c r="M210" s="659">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117.9</v>
      </c>
      <c r="H211" s="249">
        <v>1.456</v>
      </c>
      <c r="I211" s="320">
        <v>117.99</v>
      </c>
      <c r="J211" s="651">
        <v>1.599</v>
      </c>
      <c r="K211" s="475" t="s">
        <v>187</v>
      </c>
      <c r="L211" s="443"/>
      <c r="M211" s="656">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109.27</v>
      </c>
      <c r="H212" s="249">
        <v>1.1399999999999999</v>
      </c>
      <c r="I212" s="320">
        <v>108.16</v>
      </c>
      <c r="J212" s="651">
        <v>0.56999999999999995</v>
      </c>
      <c r="K212" s="475" t="s">
        <v>187</v>
      </c>
      <c r="L212" s="443"/>
      <c r="M212" s="663">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60.96</v>
      </c>
      <c r="H213" s="289">
        <v>14.58</v>
      </c>
      <c r="I213" s="320">
        <v>65.58</v>
      </c>
      <c r="J213" s="654">
        <v>22.19</v>
      </c>
      <c r="K213" s="475" t="s">
        <v>64</v>
      </c>
      <c r="L213" s="456"/>
      <c r="M213" s="659">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170.09</v>
      </c>
      <c r="H214" s="289">
        <v>271.23</v>
      </c>
      <c r="I214" s="630">
        <v>171.84</v>
      </c>
      <c r="J214" s="660">
        <v>260.52999999999997</v>
      </c>
      <c r="K214" s="475" t="s">
        <v>340</v>
      </c>
      <c r="L214" s="304"/>
      <c r="M214" s="664">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229.45</v>
      </c>
      <c r="H215" s="289">
        <v>4.9431348499999999</v>
      </c>
      <c r="I215" s="320">
        <v>230.49</v>
      </c>
      <c r="J215" s="650">
        <v>10.759077120000001</v>
      </c>
      <c r="K215" s="475" t="s">
        <v>188</v>
      </c>
      <c r="L215" s="304"/>
      <c r="M215" s="289">
        <v>230.68</v>
      </c>
      <c r="N215" s="179">
        <v>14.85</v>
      </c>
      <c r="AB215" s="271"/>
      <c r="AC215" s="271"/>
      <c r="AD215" s="271"/>
      <c r="AE215" s="271"/>
      <c r="AF215" s="271"/>
      <c r="AG215" s="271"/>
      <c r="AH215" s="271"/>
      <c r="AI215" s="271"/>
      <c r="AJ215" s="271"/>
      <c r="AK215" s="271"/>
      <c r="AL215" s="271"/>
      <c r="AM215" s="271"/>
      <c r="AN215" s="271"/>
      <c r="AO215" s="271"/>
      <c r="AP215" s="878"/>
      <c r="AQ215" s="891">
        <f t="shared" si="40"/>
        <v>135</v>
      </c>
      <c r="AR215" s="271">
        <f t="shared" si="42"/>
        <v>1477.83</v>
      </c>
      <c r="AS215" s="271">
        <f t="shared" si="41"/>
        <v>0</v>
      </c>
      <c r="AT215" s="271"/>
      <c r="AU215" s="271"/>
      <c r="AV215" s="271"/>
      <c r="AW215" s="271"/>
      <c r="AX215" s="271"/>
      <c r="AY215" s="271"/>
      <c r="AZ215" s="271"/>
      <c r="BA215" s="271"/>
      <c r="BB215" s="271"/>
      <c r="BC215" s="271"/>
      <c r="BD215" s="271"/>
      <c r="BE215" s="271"/>
    </row>
    <row r="216" spans="2:57" ht="27" customHeight="1" x14ac:dyDescent="0.2">
      <c r="B216" s="288">
        <v>43</v>
      </c>
      <c r="C216" s="287" t="s">
        <v>210</v>
      </c>
      <c r="D216" s="287" t="s">
        <v>76</v>
      </c>
      <c r="E216" s="307">
        <v>149.30000000000001</v>
      </c>
      <c r="F216" s="324">
        <v>17.670000000000002</v>
      </c>
      <c r="G216" s="307">
        <v>141.19999999999999</v>
      </c>
      <c r="H216" s="324">
        <v>8.8000000000000007</v>
      </c>
      <c r="I216" s="307">
        <v>145.36000000000001</v>
      </c>
      <c r="J216" s="655">
        <v>12.08</v>
      </c>
      <c r="K216" s="475" t="s">
        <v>213</v>
      </c>
      <c r="L216" s="304"/>
      <c r="M216" s="655">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36.85</v>
      </c>
      <c r="H217" s="306">
        <v>0.19600000000000001</v>
      </c>
      <c r="I217" s="884">
        <v>39</v>
      </c>
      <c r="J217" s="654">
        <v>0.254</v>
      </c>
      <c r="K217" s="475"/>
      <c r="L217" s="304"/>
      <c r="M217" s="659">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67.94</v>
      </c>
      <c r="H218" s="308">
        <v>0.27800000000000002</v>
      </c>
      <c r="I218" s="885">
        <v>69.599999999999994</v>
      </c>
      <c r="J218" s="654">
        <v>0.45300000000000001</v>
      </c>
      <c r="K218" s="475"/>
      <c r="L218" s="304"/>
      <c r="M218" s="659">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768.10313484999995</v>
      </c>
      <c r="I219" s="632"/>
      <c r="J219" s="633">
        <f>SUM(J174:J218)</f>
        <v>789.09207712000011</v>
      </c>
      <c r="K219" s="888">
        <f>SUM(K174:K218)</f>
        <v>0</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34"/>
      <c r="J220" s="635">
        <f>IFERROR(+J219/H219,0)</f>
        <v>1.0273256823435553</v>
      </c>
      <c r="K220" s="476">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84" t="s">
        <v>214</v>
      </c>
      <c r="D221" s="294"/>
      <c r="E221" s="367">
        <v>1736.79</v>
      </c>
      <c r="F221" s="315">
        <v>1</v>
      </c>
      <c r="G221" s="316" t="s">
        <v>68</v>
      </c>
      <c r="H221" s="331">
        <f>+H219/F219*100%</f>
        <v>0.41895957271420819</v>
      </c>
      <c r="I221" s="634"/>
      <c r="J221" s="636">
        <f>+J219/F219</f>
        <v>0.43040792891298835</v>
      </c>
      <c r="K221" s="477"/>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84" t="s">
        <v>215</v>
      </c>
      <c r="D222" s="294"/>
      <c r="E222" s="325">
        <f>F219-E221</f>
        <v>96.568598000000293</v>
      </c>
      <c r="F222" s="296"/>
      <c r="G222" s="295"/>
      <c r="H222" s="296"/>
      <c r="I222" s="637"/>
      <c r="J222" s="638"/>
      <c r="K222" s="472"/>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85">
        <v>16</v>
      </c>
      <c r="G223" s="531" t="s">
        <v>253</v>
      </c>
      <c r="H223" s="485">
        <v>2025</v>
      </c>
      <c r="I223" s="639"/>
      <c r="J223" s="639"/>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31" t="s">
        <v>20</v>
      </c>
      <c r="F224" s="732"/>
      <c r="G224" s="731" t="s">
        <v>94</v>
      </c>
      <c r="H224" s="732"/>
      <c r="I224" s="733" t="s">
        <v>22</v>
      </c>
      <c r="J224" s="734"/>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40" t="s">
        <v>24</v>
      </c>
      <c r="J225" s="641"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42" t="s">
        <v>149</v>
      </c>
      <c r="J226" s="643"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44">
        <v>8</v>
      </c>
      <c r="J227" s="644">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48">
        <v>53.96</v>
      </c>
      <c r="H228" s="848">
        <v>21.207999999999998</v>
      </c>
      <c r="I228" s="848">
        <v>50.18</v>
      </c>
      <c r="J228" s="848">
        <v>7.3049999999999997</v>
      </c>
      <c r="K228" s="475" t="s">
        <v>179</v>
      </c>
      <c r="L228" s="464"/>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44">
        <v>339.5</v>
      </c>
      <c r="H229" s="814">
        <v>7.77</v>
      </c>
      <c r="I229" s="744">
        <v>339.58</v>
      </c>
      <c r="J229" s="814">
        <v>7.835</v>
      </c>
      <c r="K229" s="475" t="s">
        <v>180</v>
      </c>
      <c r="L229" s="465"/>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44">
        <v>70.16</v>
      </c>
      <c r="H230" s="814">
        <v>13.352</v>
      </c>
      <c r="I230" s="744">
        <v>70.66</v>
      </c>
      <c r="J230" s="814">
        <v>14.879</v>
      </c>
      <c r="K230" s="475" t="s">
        <v>30</v>
      </c>
      <c r="L230" s="464"/>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44">
        <v>461.3</v>
      </c>
      <c r="H231" s="744">
        <v>19.064</v>
      </c>
      <c r="I231" s="846">
        <v>461.12</v>
      </c>
      <c r="J231" s="814">
        <v>16.940000000000001</v>
      </c>
      <c r="K231" s="475" t="s">
        <v>181</v>
      </c>
      <c r="L231" s="464"/>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44">
        <v>198</v>
      </c>
      <c r="H232" s="745">
        <v>2.1840000000000002</v>
      </c>
      <c r="I232" s="847">
        <v>207.01</v>
      </c>
      <c r="J232" s="814">
        <v>2.5209999999999999</v>
      </c>
      <c r="K232" s="475" t="s">
        <v>182</v>
      </c>
      <c r="L232" s="464"/>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44">
        <v>312.93</v>
      </c>
      <c r="H233" s="745">
        <v>1.8009999999999999</v>
      </c>
      <c r="I233" s="847">
        <v>315.25</v>
      </c>
      <c r="J233" s="814">
        <v>2.6509999999999998</v>
      </c>
      <c r="K233" s="475" t="s">
        <v>182</v>
      </c>
      <c r="L233" s="46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44">
        <v>82</v>
      </c>
      <c r="H234" s="744">
        <v>297.44299999999998</v>
      </c>
      <c r="I234" s="847">
        <v>82.21</v>
      </c>
      <c r="J234" s="814">
        <v>302.93200000000002</v>
      </c>
      <c r="K234" s="475"/>
      <c r="L234" s="464"/>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41">
        <v>8</v>
      </c>
      <c r="C235" s="568" t="s">
        <v>332</v>
      </c>
      <c r="D235" s="568" t="s">
        <v>334</v>
      </c>
      <c r="E235" s="568">
        <v>88.5</v>
      </c>
      <c r="F235" s="568">
        <v>20.149999999999999</v>
      </c>
      <c r="G235" s="743">
        <v>83.02</v>
      </c>
      <c r="H235" s="743">
        <v>13.439</v>
      </c>
      <c r="I235" s="743">
        <v>86.14</v>
      </c>
      <c r="J235" s="743">
        <v>16.670000000000002</v>
      </c>
      <c r="K235" s="569"/>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41">
        <v>9</v>
      </c>
      <c r="C236" s="568" t="s">
        <v>333</v>
      </c>
      <c r="D236" s="568" t="s">
        <v>79</v>
      </c>
      <c r="E236" s="568">
        <v>94.27</v>
      </c>
      <c r="F236" s="568">
        <v>10.41</v>
      </c>
      <c r="G236" s="743">
        <v>91.88</v>
      </c>
      <c r="H236" s="743">
        <v>7.2279999999999998</v>
      </c>
      <c r="I236" s="743">
        <v>93.66</v>
      </c>
      <c r="J236" s="743">
        <v>9.3569999999999993</v>
      </c>
      <c r="K236" s="569"/>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44">
        <v>116.42</v>
      </c>
      <c r="H237" s="814">
        <v>0.33600000000000002</v>
      </c>
      <c r="I237" s="855">
        <v>118.19</v>
      </c>
      <c r="J237" s="814">
        <v>0.90300000000000002</v>
      </c>
      <c r="K237" s="475" t="s">
        <v>184</v>
      </c>
      <c r="L237" s="464"/>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44">
        <v>116.97</v>
      </c>
      <c r="H238" s="814">
        <v>0.42299999999999999</v>
      </c>
      <c r="I238" s="847">
        <v>118.84</v>
      </c>
      <c r="J238" s="814">
        <v>0.96299999999999997</v>
      </c>
      <c r="K238" s="475" t="s">
        <v>184</v>
      </c>
      <c r="L238" s="464"/>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44">
        <v>43.25</v>
      </c>
      <c r="H239" s="744">
        <v>2.879</v>
      </c>
      <c r="I239" s="847">
        <v>44.86</v>
      </c>
      <c r="J239" s="814">
        <v>3.2149999999999999</v>
      </c>
      <c r="K239" s="475" t="s">
        <v>185</v>
      </c>
      <c r="L239" s="466"/>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44">
        <v>48.37</v>
      </c>
      <c r="H240" s="744">
        <v>0.33</v>
      </c>
      <c r="I240" s="850">
        <v>50.94</v>
      </c>
      <c r="J240" s="814">
        <v>1.19</v>
      </c>
      <c r="K240" s="475" t="s">
        <v>186</v>
      </c>
      <c r="L240" s="466"/>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44">
        <v>74.209999999999994</v>
      </c>
      <c r="H241" s="851">
        <v>0.221</v>
      </c>
      <c r="I241" s="847">
        <v>76.92</v>
      </c>
      <c r="J241" s="814">
        <v>0.57199999999999995</v>
      </c>
      <c r="K241" s="475" t="s">
        <v>184</v>
      </c>
      <c r="L241" s="466"/>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44">
        <v>78.010000000000005</v>
      </c>
      <c r="H242" s="814">
        <v>0.03</v>
      </c>
      <c r="I242" s="847">
        <v>80.98</v>
      </c>
      <c r="J242" s="814">
        <v>0.23100000000000001</v>
      </c>
      <c r="K242" s="475" t="s">
        <v>184</v>
      </c>
      <c r="L242" s="466"/>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44">
        <v>60.34</v>
      </c>
      <c r="H243" s="744">
        <v>6.0999999999999999E-2</v>
      </c>
      <c r="I243" s="847">
        <v>63.19</v>
      </c>
      <c r="J243" s="814">
        <v>0.16300000000000001</v>
      </c>
      <c r="K243" s="475" t="s">
        <v>184</v>
      </c>
      <c r="L243" s="466"/>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44">
        <v>44.46</v>
      </c>
      <c r="H244" s="814">
        <v>7.5999999999999998E-2</v>
      </c>
      <c r="I244" s="847">
        <v>46.83</v>
      </c>
      <c r="J244" s="814">
        <v>8.4000000000000005E-2</v>
      </c>
      <c r="K244" s="475" t="s">
        <v>184</v>
      </c>
      <c r="L244" s="467"/>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44">
        <v>127.72</v>
      </c>
      <c r="H245" s="744">
        <v>55.326999999999998</v>
      </c>
      <c r="I245" s="744">
        <v>128.06</v>
      </c>
      <c r="J245" s="856">
        <v>62.372</v>
      </c>
      <c r="K245" s="475" t="s">
        <v>187</v>
      </c>
      <c r="L245" s="466"/>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44">
        <v>176.32</v>
      </c>
      <c r="H246" s="744">
        <v>10.382</v>
      </c>
      <c r="I246" s="744">
        <v>182.7</v>
      </c>
      <c r="J246" s="856">
        <v>20.617999999999999</v>
      </c>
      <c r="K246" s="475" t="s">
        <v>187</v>
      </c>
      <c r="L246" s="466"/>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44">
        <v>106.04</v>
      </c>
      <c r="H247" s="744">
        <v>0.13400000000000001</v>
      </c>
      <c r="I247" s="744">
        <v>103</v>
      </c>
      <c r="J247" s="856">
        <v>0</v>
      </c>
      <c r="K247" s="475" t="s">
        <v>187</v>
      </c>
      <c r="L247" s="467"/>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44">
        <v>200.81</v>
      </c>
      <c r="H248" s="744">
        <v>6.3E-2</v>
      </c>
      <c r="I248" s="745">
        <v>200.53</v>
      </c>
      <c r="J248" s="856">
        <v>5.0999999999999997E-2</v>
      </c>
      <c r="K248" s="475" t="s">
        <v>187</v>
      </c>
      <c r="L248" s="467"/>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44">
        <v>218.01</v>
      </c>
      <c r="H249" s="744">
        <v>6.5000000000000002E-2</v>
      </c>
      <c r="I249" s="744">
        <v>221.94</v>
      </c>
      <c r="J249" s="856">
        <v>0.26800000000000002</v>
      </c>
      <c r="K249" s="475" t="s">
        <v>187</v>
      </c>
      <c r="L249" s="467"/>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44">
        <v>190.7</v>
      </c>
      <c r="H250" s="744">
        <v>6.4000000000000001E-2</v>
      </c>
      <c r="I250" s="745">
        <v>191.65</v>
      </c>
      <c r="J250" s="857">
        <v>0.13400000000000001</v>
      </c>
      <c r="K250" s="475" t="s">
        <v>187</v>
      </c>
      <c r="L250" s="466"/>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44">
        <v>162.18</v>
      </c>
      <c r="H251" s="744">
        <v>0.02</v>
      </c>
      <c r="I251" s="745">
        <v>163.97</v>
      </c>
      <c r="J251" s="856">
        <v>0.13</v>
      </c>
      <c r="K251" s="475" t="s">
        <v>187</v>
      </c>
      <c r="L251" s="467"/>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44">
        <v>220.3</v>
      </c>
      <c r="H252" s="744">
        <v>7.8E-2</v>
      </c>
      <c r="I252" s="745">
        <v>221.84</v>
      </c>
      <c r="J252" s="856">
        <v>0.151</v>
      </c>
      <c r="K252" s="475" t="s">
        <v>187</v>
      </c>
      <c r="L252" s="466"/>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48">
        <v>239.7</v>
      </c>
      <c r="H253" s="848">
        <v>2.5999999999999999E-2</v>
      </c>
      <c r="I253" s="858">
        <v>240.82</v>
      </c>
      <c r="J253" s="859">
        <v>9.4E-2</v>
      </c>
      <c r="K253" s="475" t="s">
        <v>187</v>
      </c>
      <c r="L253" s="466"/>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44">
        <v>503.62</v>
      </c>
      <c r="H254" s="744">
        <v>3.61</v>
      </c>
      <c r="I254" s="745">
        <v>506.44</v>
      </c>
      <c r="J254" s="857">
        <v>4.3449999999999998</v>
      </c>
      <c r="K254" s="475" t="s">
        <v>187</v>
      </c>
      <c r="L254" s="467"/>
      <c r="M254" s="626"/>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44">
        <v>148.21</v>
      </c>
      <c r="H255" s="744">
        <v>2.1749999999999998</v>
      </c>
      <c r="I255" s="744">
        <v>149.30000000000001</v>
      </c>
      <c r="J255" s="857">
        <v>2.7959999999999998</v>
      </c>
      <c r="K255" s="475" t="s">
        <v>187</v>
      </c>
      <c r="L255" s="467"/>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45">
        <v>198.9</v>
      </c>
      <c r="H256" s="745">
        <v>0.58699999999999997</v>
      </c>
      <c r="I256" s="744">
        <v>200.57</v>
      </c>
      <c r="J256" s="856">
        <v>1.1180000000000001</v>
      </c>
      <c r="K256" s="475" t="s">
        <v>187</v>
      </c>
      <c r="L256" s="467"/>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45">
        <v>319.63</v>
      </c>
      <c r="H257" s="745">
        <v>0.16800000000000001</v>
      </c>
      <c r="I257" s="745">
        <v>319.5</v>
      </c>
      <c r="J257" s="857">
        <v>0.161</v>
      </c>
      <c r="K257" s="475" t="s">
        <v>187</v>
      </c>
      <c r="L257" s="446"/>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44">
        <v>123.91</v>
      </c>
      <c r="H258" s="744">
        <v>8.4000000000000005E-2</v>
      </c>
      <c r="I258" s="745">
        <v>124.64</v>
      </c>
      <c r="J258" s="856">
        <v>0.155</v>
      </c>
      <c r="K258" s="475" t="s">
        <v>187</v>
      </c>
      <c r="L258" s="446"/>
      <c r="M258" s="627"/>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44">
        <v>277.41000000000003</v>
      </c>
      <c r="H259" s="744">
        <v>5.7000000000000002E-2</v>
      </c>
      <c r="I259" s="744">
        <v>279.39</v>
      </c>
      <c r="J259" s="856">
        <v>0.16</v>
      </c>
      <c r="K259" s="475" t="s">
        <v>187</v>
      </c>
      <c r="L259" s="466"/>
      <c r="M259" s="395"/>
      <c r="AB259"/>
      <c r="AC259"/>
      <c r="AD259"/>
      <c r="AE259"/>
      <c r="AF259"/>
      <c r="AG259"/>
      <c r="AH259"/>
      <c r="AI259"/>
      <c r="AJ259"/>
      <c r="AK259"/>
      <c r="AL259"/>
      <c r="AM259"/>
      <c r="AN259"/>
      <c r="AO259"/>
      <c r="AP259" s="263"/>
      <c r="AQ259" s="274">
        <f t="shared" si="40"/>
        <v>177</v>
      </c>
      <c r="AR259" s="808">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44">
        <v>93.17</v>
      </c>
      <c r="H260" s="744">
        <v>0.192</v>
      </c>
      <c r="I260" s="745">
        <v>93.42</v>
      </c>
      <c r="J260" s="857">
        <v>0.24099999999999999</v>
      </c>
      <c r="K260" s="475" t="s">
        <v>187</v>
      </c>
      <c r="L260" s="466"/>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44">
        <v>187.69</v>
      </c>
      <c r="H261" s="744">
        <v>1.7999999999999999E-2</v>
      </c>
      <c r="I261" s="745">
        <v>189.34</v>
      </c>
      <c r="J261" s="857">
        <v>7.1999999999999995E-2</v>
      </c>
      <c r="K261" s="475" t="s">
        <v>187</v>
      </c>
      <c r="L261" s="446"/>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44">
        <v>168.41</v>
      </c>
      <c r="H262" s="814">
        <v>0.03</v>
      </c>
      <c r="I262" s="745">
        <v>170.21</v>
      </c>
      <c r="J262" s="857">
        <v>7.2999999999999995E-2</v>
      </c>
      <c r="K262" s="475" t="s">
        <v>187</v>
      </c>
      <c r="L262" s="446"/>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44">
        <v>138.08000000000001</v>
      </c>
      <c r="H263" s="744">
        <v>3.5880000000000001</v>
      </c>
      <c r="I263" s="744">
        <v>138.72999999999999</v>
      </c>
      <c r="J263" s="815">
        <v>4.9909999999999997</v>
      </c>
      <c r="K263" s="475" t="s">
        <v>187</v>
      </c>
      <c r="L263" s="446"/>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44">
        <v>236.43</v>
      </c>
      <c r="H264" s="814">
        <v>0.96699999999999997</v>
      </c>
      <c r="I264" s="744">
        <v>238.1</v>
      </c>
      <c r="J264" s="815">
        <v>1.91</v>
      </c>
      <c r="K264" s="475" t="s">
        <v>187</v>
      </c>
      <c r="L264" s="468"/>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44">
        <v>117.9</v>
      </c>
      <c r="H265" s="744">
        <v>1.456</v>
      </c>
      <c r="I265" s="744">
        <v>117.97</v>
      </c>
      <c r="J265" s="856">
        <v>1.5669999999999999</v>
      </c>
      <c r="K265" s="475" t="s">
        <v>187</v>
      </c>
      <c r="L265" s="469"/>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44">
        <v>109.27</v>
      </c>
      <c r="H266" s="744">
        <v>1.1399999999999999</v>
      </c>
      <c r="I266" s="744">
        <v>108.18</v>
      </c>
      <c r="J266" s="856">
        <v>0.57899999999999996</v>
      </c>
      <c r="K266" s="475" t="s">
        <v>187</v>
      </c>
      <c r="L266" s="470"/>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44">
        <v>60.96</v>
      </c>
      <c r="H267" s="814">
        <v>14.58</v>
      </c>
      <c r="I267" s="744">
        <v>65.52</v>
      </c>
      <c r="J267" s="815">
        <v>22.08</v>
      </c>
      <c r="K267" s="475" t="s">
        <v>64</v>
      </c>
      <c r="L267" s="304"/>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44">
        <v>170.09</v>
      </c>
      <c r="H268" s="814">
        <v>271.23</v>
      </c>
      <c r="I268" s="744">
        <v>172</v>
      </c>
      <c r="J268" s="815">
        <v>262.02999999999997</v>
      </c>
      <c r="K268" s="475" t="s">
        <v>340</v>
      </c>
      <c r="L268" s="304"/>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44">
        <v>229.47</v>
      </c>
      <c r="H269" s="814">
        <v>5.0300238100000003</v>
      </c>
      <c r="I269" s="744">
        <v>230.25</v>
      </c>
      <c r="J269" s="814">
        <v>9.2216599099999996</v>
      </c>
      <c r="K269" s="475" t="s">
        <v>188</v>
      </c>
      <c r="L269" s="304"/>
      <c r="M269" s="892"/>
      <c r="AB269" s="271"/>
      <c r="AC269" s="271"/>
      <c r="AD269" s="271"/>
      <c r="AE269" s="271"/>
      <c r="AF269" s="271"/>
      <c r="AG269" s="271"/>
      <c r="AH269" s="271"/>
      <c r="AI269" s="271"/>
      <c r="AJ269" s="271"/>
      <c r="AK269" s="271"/>
      <c r="AL269" s="271"/>
      <c r="AM269" s="271"/>
      <c r="AN269" s="271"/>
      <c r="AO269" s="271"/>
      <c r="AP269" s="878"/>
      <c r="AQ269" s="891">
        <f t="shared" si="40"/>
        <v>184</v>
      </c>
      <c r="AR269" s="271">
        <f t="shared" si="46"/>
        <v>1342.57</v>
      </c>
      <c r="AS269" s="271">
        <f t="shared" si="41"/>
        <v>0</v>
      </c>
      <c r="AT269" s="271"/>
      <c r="AU269" s="271"/>
      <c r="AV269" s="271"/>
      <c r="AW269" s="271"/>
      <c r="AX269" s="271"/>
      <c r="AY269" s="271"/>
      <c r="AZ269" s="271"/>
      <c r="BA269" s="271"/>
      <c r="BB269" s="271"/>
      <c r="BC269" s="271"/>
      <c r="BD269" s="271"/>
      <c r="BE269" s="271"/>
    </row>
    <row r="270" spans="2:57" ht="27" customHeight="1" x14ac:dyDescent="0.2">
      <c r="B270" s="288">
        <v>43</v>
      </c>
      <c r="C270" s="287" t="s">
        <v>210</v>
      </c>
      <c r="D270" s="287" t="s">
        <v>76</v>
      </c>
      <c r="E270" s="307">
        <v>149.30000000000001</v>
      </c>
      <c r="F270" s="324">
        <v>17.670000000000002</v>
      </c>
      <c r="G270" s="860">
        <v>141.19999999999999</v>
      </c>
      <c r="H270" s="861">
        <v>8.8000000000000007</v>
      </c>
      <c r="I270" s="860">
        <v>145.47</v>
      </c>
      <c r="J270" s="862">
        <v>12.18</v>
      </c>
      <c r="K270" s="475" t="s">
        <v>213</v>
      </c>
      <c r="L270" s="296"/>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49">
        <v>36.85</v>
      </c>
      <c r="H271" s="846">
        <v>0.19600000000000001</v>
      </c>
      <c r="I271" s="863">
        <v>39</v>
      </c>
      <c r="J271" s="856">
        <v>0.254</v>
      </c>
      <c r="K271" s="475"/>
      <c r="L271" s="300"/>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64">
        <v>67.94</v>
      </c>
      <c r="H272" s="865">
        <v>0.27800000000000002</v>
      </c>
      <c r="I272" s="847">
        <v>69.599999999999994</v>
      </c>
      <c r="J272" s="856">
        <v>0.45300000000000001</v>
      </c>
      <c r="K272" s="479"/>
      <c r="L272" s="301"/>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768.19002380999996</v>
      </c>
      <c r="I273" s="310"/>
      <c r="J273" s="645">
        <f>SUM(J228:J272)</f>
        <v>796.61565990999998</v>
      </c>
      <c r="K273" s="478"/>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6">
        <f>IFERROR(+J273/H273,0)</f>
        <v>1.037003391373162</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84" t="s">
        <v>214</v>
      </c>
      <c r="D275" s="294"/>
      <c r="E275" s="367">
        <v>1736.79</v>
      </c>
      <c r="F275" s="315">
        <v>1</v>
      </c>
      <c r="G275" s="316" t="s">
        <v>68</v>
      </c>
      <c r="H275" s="315">
        <f>+H273/F273*100%</f>
        <v>0.41900696603927556</v>
      </c>
      <c r="I275" s="317"/>
      <c r="J275" s="647">
        <f>+J273/F273</f>
        <v>0.43451164479170806</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84" t="s">
        <v>215</v>
      </c>
      <c r="D276" s="294"/>
      <c r="E276" s="325">
        <f>F273-E275</f>
        <v>96.568598000000293</v>
      </c>
      <c r="F276" s="296"/>
      <c r="G276" s="295"/>
      <c r="H276" s="296"/>
      <c r="I276" s="637"/>
      <c r="J276" s="638"/>
      <c r="K276" s="472"/>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85">
        <v>15</v>
      </c>
      <c r="G277" s="531" t="s">
        <v>253</v>
      </c>
      <c r="H277" s="485">
        <v>2025</v>
      </c>
      <c r="I277" s="639"/>
      <c r="J277" s="639"/>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31" t="s">
        <v>20</v>
      </c>
      <c r="F278" s="732"/>
      <c r="G278" s="731" t="s">
        <v>94</v>
      </c>
      <c r="H278" s="732"/>
      <c r="I278" s="733" t="s">
        <v>22</v>
      </c>
      <c r="J278" s="734"/>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40" t="s">
        <v>24</v>
      </c>
      <c r="J279" s="641" t="s">
        <v>25</v>
      </c>
      <c r="K279" s="369"/>
      <c r="L279" s="457"/>
      <c r="M279" s="391"/>
      <c r="AB279"/>
      <c r="AC279"/>
      <c r="AD279"/>
      <c r="AE279"/>
      <c r="AF279"/>
      <c r="AG279"/>
      <c r="AH279"/>
      <c r="AI279"/>
      <c r="AJ279"/>
      <c r="AK279"/>
      <c r="AL279"/>
      <c r="AM279"/>
      <c r="AN279"/>
      <c r="AO279"/>
      <c r="AP279" s="263"/>
      <c r="AQ279" s="274">
        <f t="shared" ref="AQ279:AQ349" si="47">AQ278+1</f>
        <v>194</v>
      </c>
      <c r="AR279" s="808">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42" t="s">
        <v>26</v>
      </c>
      <c r="J280" s="643" t="s">
        <v>155</v>
      </c>
      <c r="K280" s="370"/>
      <c r="L280" s="471"/>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44">
        <v>8</v>
      </c>
      <c r="J281" s="644">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48">
        <v>53.47</v>
      </c>
      <c r="H282" s="848">
        <v>19.048999999999999</v>
      </c>
      <c r="I282" s="848">
        <v>50.31</v>
      </c>
      <c r="J282" s="848">
        <v>7.7039999999999997</v>
      </c>
      <c r="K282" s="479" t="s">
        <v>179</v>
      </c>
      <c r="L282" s="618">
        <v>30.321999999999999</v>
      </c>
      <c r="M282" s="392"/>
      <c r="N282" s="827">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44">
        <v>339.5</v>
      </c>
      <c r="H283" s="814">
        <v>7.77</v>
      </c>
      <c r="I283" s="744">
        <v>339.58</v>
      </c>
      <c r="J283" s="814">
        <v>7.835</v>
      </c>
      <c r="K283" s="479" t="s">
        <v>180</v>
      </c>
      <c r="L283" s="650">
        <v>7.77</v>
      </c>
      <c r="M283" s="392"/>
      <c r="N283" s="827">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44">
        <v>70.2</v>
      </c>
      <c r="H284" s="814">
        <v>13.467000000000001</v>
      </c>
      <c r="I284" s="744">
        <v>70.66</v>
      </c>
      <c r="J284" s="814">
        <v>14.879</v>
      </c>
      <c r="K284" s="479" t="s">
        <v>30</v>
      </c>
      <c r="L284" s="650">
        <v>47.98</v>
      </c>
      <c r="M284" s="392"/>
      <c r="N284" s="827">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44">
        <v>461.3</v>
      </c>
      <c r="H285" s="744">
        <v>19.064</v>
      </c>
      <c r="I285" s="846">
        <v>461.12</v>
      </c>
      <c r="J285" s="848">
        <v>16.940000000000001</v>
      </c>
      <c r="K285" s="366" t="s">
        <v>181</v>
      </c>
      <c r="L285" s="650">
        <v>39.548000000000002</v>
      </c>
      <c r="M285" s="392"/>
      <c r="N285" s="827">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44">
        <v>198</v>
      </c>
      <c r="H286" s="745">
        <v>2.1840000000000002</v>
      </c>
      <c r="I286" s="847">
        <v>207.01</v>
      </c>
      <c r="J286" s="848">
        <v>2.5209999999999999</v>
      </c>
      <c r="K286" s="366" t="s">
        <v>182</v>
      </c>
      <c r="L286" s="650">
        <v>2.5270000000000001</v>
      </c>
      <c r="M286" s="392"/>
      <c r="N286" s="827">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44">
        <v>312.93</v>
      </c>
      <c r="H287" s="745">
        <v>1.8009999999999999</v>
      </c>
      <c r="I287" s="847">
        <v>315.25</v>
      </c>
      <c r="J287" s="848">
        <v>2.6509999999999998</v>
      </c>
      <c r="K287" s="366" t="s">
        <v>182</v>
      </c>
      <c r="L287" s="650">
        <v>4.7060000000000004</v>
      </c>
      <c r="M287" s="393"/>
      <c r="N287" s="827">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44">
        <v>82</v>
      </c>
      <c r="H288" s="744">
        <v>297.44299999999998</v>
      </c>
      <c r="I288" s="847">
        <v>82.39</v>
      </c>
      <c r="J288" s="848">
        <v>307.69499999999999</v>
      </c>
      <c r="K288" s="366" t="s">
        <v>183</v>
      </c>
      <c r="L288" s="650">
        <v>550.02499999999998</v>
      </c>
      <c r="M288" s="393"/>
      <c r="N288" s="827">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41">
        <v>8</v>
      </c>
      <c r="C289" s="568" t="s">
        <v>332</v>
      </c>
      <c r="D289" s="568" t="s">
        <v>334</v>
      </c>
      <c r="E289" s="568">
        <v>88.5</v>
      </c>
      <c r="F289" s="568">
        <v>20.149999999999999</v>
      </c>
      <c r="G289" s="743">
        <v>83.02</v>
      </c>
      <c r="H289" s="743">
        <v>13.439</v>
      </c>
      <c r="I289" s="743">
        <v>86.14</v>
      </c>
      <c r="J289" s="743">
        <v>16.670000000000002</v>
      </c>
      <c r="K289" s="569"/>
      <c r="L289" s="743">
        <v>19.602</v>
      </c>
      <c r="M289" s="393"/>
      <c r="N289" s="827">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41">
        <v>9</v>
      </c>
      <c r="C290" s="568" t="s">
        <v>333</v>
      </c>
      <c r="D290" s="568" t="s">
        <v>79</v>
      </c>
      <c r="E290" s="568">
        <v>94.27</v>
      </c>
      <c r="F290" s="568">
        <v>10.41</v>
      </c>
      <c r="G290" s="743">
        <v>91.88</v>
      </c>
      <c r="H290" s="743">
        <v>7.2279999999999998</v>
      </c>
      <c r="I290" s="743">
        <v>93.66</v>
      </c>
      <c r="J290" s="743">
        <v>9.3569999999999993</v>
      </c>
      <c r="K290" s="569"/>
      <c r="L290" s="743">
        <v>10.337</v>
      </c>
      <c r="M290" s="393"/>
      <c r="N290" s="827">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44">
        <v>116.42</v>
      </c>
      <c r="H291" s="814">
        <v>0.33600000000000002</v>
      </c>
      <c r="I291" s="855">
        <v>118.19</v>
      </c>
      <c r="J291" s="848">
        <v>0.90300000000000002</v>
      </c>
      <c r="K291" s="385" t="s">
        <v>184</v>
      </c>
      <c r="L291" s="650">
        <v>1.0469999999999999</v>
      </c>
      <c r="M291" s="393"/>
      <c r="N291" s="827">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44">
        <v>116.97</v>
      </c>
      <c r="H292" s="814">
        <v>0.42299999999999999</v>
      </c>
      <c r="I292" s="847">
        <v>118.84</v>
      </c>
      <c r="J292" s="848">
        <v>0.96299999999999997</v>
      </c>
      <c r="K292" s="385" t="s">
        <v>184</v>
      </c>
      <c r="L292" s="650">
        <v>1.4690000000000001</v>
      </c>
      <c r="M292" s="394"/>
      <c r="N292" s="827">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44">
        <v>43.25</v>
      </c>
      <c r="H293" s="744">
        <v>2.879</v>
      </c>
      <c r="I293" s="847">
        <v>44.86</v>
      </c>
      <c r="J293" s="848">
        <v>3.2149999999999999</v>
      </c>
      <c r="K293" s="385" t="s">
        <v>185</v>
      </c>
      <c r="L293" s="650">
        <v>3.9039999999999999</v>
      </c>
      <c r="M293" s="393"/>
      <c r="N293" s="827">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44">
        <v>48.37</v>
      </c>
      <c r="H294" s="744">
        <v>0.33</v>
      </c>
      <c r="I294" s="850">
        <v>50.94</v>
      </c>
      <c r="J294" s="848">
        <v>1.19</v>
      </c>
      <c r="K294" s="385" t="s">
        <v>186</v>
      </c>
      <c r="L294" s="650">
        <v>1.4501999999999999</v>
      </c>
      <c r="M294" s="393"/>
      <c r="N294" s="827">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44">
        <v>74.209999999999994</v>
      </c>
      <c r="H295" s="851">
        <v>0.221</v>
      </c>
      <c r="I295" s="847">
        <v>76.92</v>
      </c>
      <c r="J295" s="848">
        <v>0.57199999999999995</v>
      </c>
      <c r="K295" s="385" t="s">
        <v>184</v>
      </c>
      <c r="L295" s="650">
        <v>0.499</v>
      </c>
      <c r="M295" s="394"/>
      <c r="N295" s="827">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44">
        <v>78.010000000000005</v>
      </c>
      <c r="H296" s="814">
        <v>0.03</v>
      </c>
      <c r="I296" s="847">
        <v>80.98</v>
      </c>
      <c r="J296" s="848">
        <v>0.23100000000000001</v>
      </c>
      <c r="K296" s="385">
        <v>0</v>
      </c>
      <c r="L296" s="650">
        <v>0.25700000000000001</v>
      </c>
      <c r="M296" s="394"/>
      <c r="N296" s="827">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44">
        <v>60.34</v>
      </c>
      <c r="H297" s="744">
        <v>6.0999999999999999E-2</v>
      </c>
      <c r="I297" s="847">
        <v>63.2</v>
      </c>
      <c r="J297" s="848">
        <v>0.16500000000000001</v>
      </c>
      <c r="K297" s="385" t="s">
        <v>184</v>
      </c>
      <c r="L297" s="650">
        <v>0.22700000000000001</v>
      </c>
      <c r="M297" s="394"/>
      <c r="N297" s="827">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44">
        <v>44.46</v>
      </c>
      <c r="H298" s="814">
        <v>7.5999999999999998E-2</v>
      </c>
      <c r="I298" s="847">
        <v>46.84</v>
      </c>
      <c r="J298" s="848">
        <v>8.5000000000000006E-2</v>
      </c>
      <c r="K298" s="385">
        <v>0</v>
      </c>
      <c r="L298" s="650">
        <v>9.2999999999999999E-2</v>
      </c>
      <c r="M298" s="393"/>
      <c r="N298" s="827">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44">
        <v>127.72</v>
      </c>
      <c r="H299" s="744">
        <v>55.326999999999998</v>
      </c>
      <c r="I299" s="744">
        <v>128.13</v>
      </c>
      <c r="J299" s="856">
        <v>63.847999999999999</v>
      </c>
      <c r="K299" s="366" t="s">
        <v>187</v>
      </c>
      <c r="L299" s="651">
        <v>189.48</v>
      </c>
      <c r="M299" s="394"/>
      <c r="N299" s="827">
        <v>256.38200000000001</v>
      </c>
      <c r="AB299"/>
      <c r="AC299"/>
      <c r="AD299"/>
      <c r="AE299"/>
      <c r="AF299"/>
      <c r="AG299"/>
      <c r="AH299"/>
      <c r="AI299"/>
      <c r="AJ299"/>
      <c r="AK299"/>
      <c r="AL299"/>
      <c r="AM299"/>
      <c r="AN299"/>
      <c r="AO299"/>
      <c r="AP299" s="263"/>
      <c r="AQ299" s="274">
        <f t="shared" si="47"/>
        <v>212</v>
      </c>
      <c r="AR299" s="808">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44">
        <v>176.32</v>
      </c>
      <c r="H300" s="744">
        <v>10.382</v>
      </c>
      <c r="I300" s="744">
        <v>182.73</v>
      </c>
      <c r="J300" s="856">
        <v>20.673999999999999</v>
      </c>
      <c r="K300" s="366" t="s">
        <v>187</v>
      </c>
      <c r="L300" s="651">
        <v>25.273</v>
      </c>
      <c r="M300" s="393"/>
      <c r="N300" s="827">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44">
        <v>106.04</v>
      </c>
      <c r="H301" s="744">
        <v>0.13400000000000001</v>
      </c>
      <c r="I301" s="744">
        <v>103</v>
      </c>
      <c r="J301" s="856">
        <v>0</v>
      </c>
      <c r="K301" s="366" t="s">
        <v>187</v>
      </c>
      <c r="L301" s="651">
        <v>2.222</v>
      </c>
      <c r="M301" s="393"/>
      <c r="N301" s="827">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44">
        <v>200.81</v>
      </c>
      <c r="H302" s="744">
        <v>6.3E-2</v>
      </c>
      <c r="I302" s="745">
        <v>200.53</v>
      </c>
      <c r="J302" s="856">
        <v>5.0999999999999997E-2</v>
      </c>
      <c r="K302" s="366" t="s">
        <v>187</v>
      </c>
      <c r="L302" s="651">
        <v>0.313</v>
      </c>
      <c r="M302" s="394"/>
      <c r="N302" s="827">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44">
        <v>218.01</v>
      </c>
      <c r="H303" s="744">
        <v>6.5000000000000002E-2</v>
      </c>
      <c r="I303" s="744">
        <v>221.94</v>
      </c>
      <c r="J303" s="856">
        <v>0.26800000000000002</v>
      </c>
      <c r="K303" s="366" t="s">
        <v>187</v>
      </c>
      <c r="L303" s="651">
        <v>0.43</v>
      </c>
      <c r="M303" s="394"/>
      <c r="N303" s="827">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44">
        <v>189.65</v>
      </c>
      <c r="H304" s="744">
        <v>1.7999999999999999E-2</v>
      </c>
      <c r="I304" s="745">
        <v>191.84</v>
      </c>
      <c r="J304" s="857">
        <v>0.151</v>
      </c>
      <c r="K304" s="366" t="s">
        <v>187</v>
      </c>
      <c r="L304" s="652">
        <v>0.78300000000000003</v>
      </c>
      <c r="M304" s="394"/>
      <c r="N304" s="827">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44">
        <v>162.33000000000001</v>
      </c>
      <c r="H305" s="744">
        <v>2.5999999999999999E-2</v>
      </c>
      <c r="I305" s="745">
        <v>163.98</v>
      </c>
      <c r="J305" s="856">
        <v>0.13100000000000001</v>
      </c>
      <c r="K305" s="366" t="s">
        <v>187</v>
      </c>
      <c r="L305" s="651">
        <v>0.32500000000000001</v>
      </c>
      <c r="M305" s="395"/>
      <c r="N305" s="827">
        <v>0.34</v>
      </c>
      <c r="AB305"/>
      <c r="AC305"/>
      <c r="AD305"/>
      <c r="AE305"/>
      <c r="AF305"/>
      <c r="AG305"/>
      <c r="AH305"/>
      <c r="AI305"/>
      <c r="AJ305"/>
      <c r="AK305"/>
      <c r="AL305"/>
      <c r="AM305"/>
      <c r="AN305"/>
      <c r="AO305"/>
      <c r="AP305" s="263"/>
      <c r="AQ305" s="274">
        <f t="shared" si="47"/>
        <v>218</v>
      </c>
      <c r="AR305">
        <f t="shared" si="52"/>
        <v>1117.6469162900003</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44">
        <v>220.3</v>
      </c>
      <c r="H306" s="744">
        <v>7.8E-2</v>
      </c>
      <c r="I306" s="745">
        <v>221.85</v>
      </c>
      <c r="J306" s="856">
        <v>0.152</v>
      </c>
      <c r="K306" s="366" t="s">
        <v>187</v>
      </c>
      <c r="L306" s="651">
        <v>0.60699999999999998</v>
      </c>
      <c r="M306" s="395"/>
      <c r="N306" s="827">
        <v>0.69599999999999995</v>
      </c>
      <c r="AB306"/>
      <c r="AC306"/>
      <c r="AD306"/>
      <c r="AE306"/>
      <c r="AF306"/>
      <c r="AG306"/>
      <c r="AH306"/>
      <c r="AI306"/>
      <c r="AJ306"/>
      <c r="AK306"/>
      <c r="AL306"/>
      <c r="AM306"/>
      <c r="AN306"/>
      <c r="AO306"/>
      <c r="AP306" s="263"/>
      <c r="AQ306" s="274">
        <f t="shared" si="47"/>
        <v>219</v>
      </c>
      <c r="AR306">
        <f t="shared" si="52"/>
        <v>1106.7979162899999</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48">
        <v>239.7</v>
      </c>
      <c r="H307" s="848">
        <v>2.5999999999999999E-2</v>
      </c>
      <c r="I307" s="858">
        <v>240.82</v>
      </c>
      <c r="J307" s="859">
        <v>9.4E-2</v>
      </c>
      <c r="K307" s="366" t="s">
        <v>187</v>
      </c>
      <c r="L307" s="653">
        <v>1.2549999999999999</v>
      </c>
      <c r="M307" s="393"/>
      <c r="N307" s="827">
        <v>1.6279999999999999</v>
      </c>
      <c r="AB307"/>
      <c r="AC307"/>
      <c r="AD307"/>
      <c r="AE307"/>
      <c r="AF307"/>
      <c r="AG307"/>
      <c r="AH307"/>
      <c r="AI307"/>
      <c r="AJ307"/>
      <c r="AK307"/>
      <c r="AL307"/>
      <c r="AM307"/>
      <c r="AN307"/>
      <c r="AO307"/>
      <c r="AP307" s="263"/>
      <c r="AQ307" s="274">
        <f t="shared" si="47"/>
        <v>220</v>
      </c>
      <c r="AR307">
        <f t="shared" si="52"/>
        <v>1098.00309152</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44">
        <v>502.05</v>
      </c>
      <c r="H308" s="744">
        <v>3.2349999999999999</v>
      </c>
      <c r="I308" s="745">
        <v>506.5</v>
      </c>
      <c r="J308" s="857">
        <v>4.3620000000000001</v>
      </c>
      <c r="K308" s="366" t="s">
        <v>187</v>
      </c>
      <c r="L308" s="652">
        <v>7.0830000000000002</v>
      </c>
      <c r="M308" s="393"/>
      <c r="N308" s="827">
        <v>7.0789999999999997</v>
      </c>
      <c r="AB308"/>
      <c r="AC308"/>
      <c r="AD308"/>
      <c r="AE308"/>
      <c r="AF308"/>
      <c r="AG308"/>
      <c r="AH308"/>
      <c r="AI308"/>
      <c r="AJ308"/>
      <c r="AK308"/>
      <c r="AL308"/>
      <c r="AM308"/>
      <c r="AN308"/>
      <c r="AO308"/>
      <c r="AP308" s="263"/>
      <c r="AQ308" s="274">
        <f t="shared" si="47"/>
        <v>221</v>
      </c>
      <c r="AR308">
        <f t="shared" si="52"/>
        <v>1095.6854058200001</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44">
        <v>148.21</v>
      </c>
      <c r="H309" s="744">
        <v>2.1749999999999998</v>
      </c>
      <c r="I309" s="744">
        <v>149.43</v>
      </c>
      <c r="J309" s="857">
        <v>2.871</v>
      </c>
      <c r="K309" s="366" t="s">
        <v>187</v>
      </c>
      <c r="L309" s="652">
        <v>3.956</v>
      </c>
      <c r="M309" s="386"/>
      <c r="N309" s="827">
        <v>2.6309999999999998</v>
      </c>
      <c r="AB309"/>
      <c r="AC309"/>
      <c r="AD309"/>
      <c r="AE309"/>
      <c r="AF309"/>
      <c r="AG309"/>
      <c r="AH309"/>
      <c r="AI309"/>
      <c r="AJ309"/>
      <c r="AK309"/>
      <c r="AL309"/>
      <c r="AM309"/>
      <c r="AN309"/>
      <c r="AO309"/>
      <c r="AP309" s="263"/>
      <c r="AQ309" s="274">
        <f t="shared" si="47"/>
        <v>222</v>
      </c>
      <c r="AR309" s="808">
        <f t="shared" si="52"/>
        <v>1092.4872501700002</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45">
        <v>198.9</v>
      </c>
      <c r="H310" s="745">
        <v>0.58699999999999997</v>
      </c>
      <c r="I310" s="744">
        <v>200.6</v>
      </c>
      <c r="J310" s="856">
        <v>1.129</v>
      </c>
      <c r="K310" s="366" t="s">
        <v>187</v>
      </c>
      <c r="L310" s="651">
        <v>3.214</v>
      </c>
      <c r="M310" s="386"/>
      <c r="N310" s="827">
        <v>3.0579999999999998</v>
      </c>
      <c r="AB310"/>
      <c r="AC310"/>
      <c r="AD310"/>
      <c r="AE310"/>
      <c r="AF310"/>
      <c r="AG310"/>
      <c r="AH310"/>
      <c r="AI310"/>
      <c r="AJ310"/>
      <c r="AK310"/>
      <c r="AL310"/>
      <c r="AM310"/>
      <c r="AN310"/>
      <c r="AO310"/>
      <c r="AP310" s="263"/>
      <c r="AQ310" s="274">
        <f t="shared" si="47"/>
        <v>223</v>
      </c>
      <c r="AR310">
        <f t="shared" si="52"/>
        <v>1089.5730304199997</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45">
        <v>319.64999999999998</v>
      </c>
      <c r="H311" s="745">
        <v>0.16900000000000001</v>
      </c>
      <c r="I311" s="745">
        <v>319.60000000000002</v>
      </c>
      <c r="J311" s="857">
        <v>0.16700000000000001</v>
      </c>
      <c r="K311" s="366" t="s">
        <v>187</v>
      </c>
      <c r="L311" s="652">
        <v>0.64100000000000001</v>
      </c>
      <c r="M311" s="386"/>
      <c r="N311" s="827">
        <v>0.61699999999999999</v>
      </c>
      <c r="AB311"/>
      <c r="AC311"/>
      <c r="AD311"/>
      <c r="AE311"/>
      <c r="AF311"/>
      <c r="AG311"/>
      <c r="AH311"/>
      <c r="AI311"/>
      <c r="AJ311"/>
      <c r="AK311"/>
      <c r="AL311"/>
      <c r="AM311"/>
      <c r="AN311"/>
      <c r="AO311"/>
      <c r="AP311" s="263"/>
      <c r="AQ311" s="274">
        <f t="shared" si="47"/>
        <v>224</v>
      </c>
      <c r="AR311">
        <f t="shared" si="52"/>
        <v>1084.0488003299995</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44">
        <v>123.95</v>
      </c>
      <c r="H312" s="744">
        <v>8.7999999999999995E-2</v>
      </c>
      <c r="I312" s="745">
        <v>124.64</v>
      </c>
      <c r="J312" s="856">
        <v>0.155</v>
      </c>
      <c r="K312" s="366" t="s">
        <v>187</v>
      </c>
      <c r="L312" s="651">
        <v>0.71</v>
      </c>
      <c r="M312" s="396"/>
      <c r="N312" s="827">
        <v>0.66900000000000004</v>
      </c>
      <c r="AB312"/>
      <c r="AC312"/>
      <c r="AD312"/>
      <c r="AE312"/>
      <c r="AF312"/>
      <c r="AG312"/>
      <c r="AH312"/>
      <c r="AI312"/>
      <c r="AJ312"/>
      <c r="AK312"/>
      <c r="AL312"/>
      <c r="AM312"/>
      <c r="AN312"/>
      <c r="AO312"/>
      <c r="AP312" s="263"/>
      <c r="AQ312" s="274">
        <f t="shared" si="47"/>
        <v>225</v>
      </c>
      <c r="AR312">
        <f t="shared" si="52"/>
        <v>1117.6469162900003</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44">
        <v>278</v>
      </c>
      <c r="H313" s="744">
        <v>0.08</v>
      </c>
      <c r="I313" s="744">
        <v>279.39</v>
      </c>
      <c r="J313" s="856">
        <v>0.16</v>
      </c>
      <c r="K313" s="366" t="s">
        <v>187</v>
      </c>
      <c r="L313" s="651">
        <v>0.48399999999999999</v>
      </c>
      <c r="M313" s="396"/>
      <c r="N313" s="827">
        <v>0.42699999999999999</v>
      </c>
      <c r="AB313"/>
      <c r="AC313"/>
      <c r="AD313"/>
      <c r="AE313"/>
      <c r="AF313"/>
      <c r="AG313"/>
      <c r="AH313"/>
      <c r="AI313"/>
      <c r="AJ313"/>
      <c r="AK313"/>
      <c r="AL313"/>
      <c r="AM313"/>
      <c r="AN313"/>
      <c r="AO313"/>
      <c r="AP313" s="263"/>
      <c r="AQ313" s="274">
        <f t="shared" si="47"/>
        <v>226</v>
      </c>
      <c r="AR313">
        <f t="shared" si="52"/>
        <v>1106.7979162899999</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44">
        <v>93.17</v>
      </c>
      <c r="H314" s="744">
        <v>0.192</v>
      </c>
      <c r="I314" s="745">
        <v>93.86</v>
      </c>
      <c r="J314" s="857">
        <v>0.32600000000000001</v>
      </c>
      <c r="K314" s="366" t="s">
        <v>187</v>
      </c>
      <c r="L314" s="652">
        <v>2.9020000000000001</v>
      </c>
      <c r="M314" s="396"/>
      <c r="N314" s="827">
        <v>1.718</v>
      </c>
      <c r="AB314"/>
      <c r="AC314"/>
      <c r="AD314"/>
      <c r="AE314"/>
      <c r="AF314"/>
      <c r="AG314"/>
      <c r="AH314"/>
      <c r="AI314"/>
      <c r="AJ314"/>
      <c r="AK314"/>
      <c r="AL314"/>
      <c r="AM314"/>
      <c r="AN314"/>
      <c r="AO314"/>
      <c r="AP314" s="263"/>
      <c r="AQ314" s="274">
        <f t="shared" si="47"/>
        <v>227</v>
      </c>
      <c r="AR314" s="808">
        <f t="shared" si="52"/>
        <v>1098.00309152</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44">
        <v>187.75</v>
      </c>
      <c r="H315" s="744">
        <v>1.9E-2</v>
      </c>
      <c r="I315" s="745">
        <v>189.36</v>
      </c>
      <c r="J315" s="857">
        <v>7.2999999999999995E-2</v>
      </c>
      <c r="K315" s="366" t="s">
        <v>187</v>
      </c>
      <c r="L315" s="652">
        <v>7.5999999999999998E-2</v>
      </c>
      <c r="M315" s="187"/>
      <c r="N315" s="827">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44">
        <v>168.41</v>
      </c>
      <c r="H316" s="814">
        <v>0.03</v>
      </c>
      <c r="I316" s="745">
        <v>170.25</v>
      </c>
      <c r="J316" s="857">
        <v>7.3999999999999996E-2</v>
      </c>
      <c r="K316" s="366" t="s">
        <v>187</v>
      </c>
      <c r="L316" s="652">
        <v>9.7000000000000003E-2</v>
      </c>
      <c r="M316" s="187"/>
      <c r="N316" s="827">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44">
        <v>138.08000000000001</v>
      </c>
      <c r="H317" s="744">
        <v>3.5880000000000001</v>
      </c>
      <c r="I317" s="744">
        <v>138.66</v>
      </c>
      <c r="J317" s="815">
        <v>4.84</v>
      </c>
      <c r="K317" s="366" t="s">
        <v>187</v>
      </c>
      <c r="L317" s="654">
        <v>10.023999999999999</v>
      </c>
      <c r="M317" s="187"/>
      <c r="N317" s="827">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44">
        <v>236.38</v>
      </c>
      <c r="H318" s="814">
        <v>0.94199999999999995</v>
      </c>
      <c r="I318" s="866">
        <v>238.12</v>
      </c>
      <c r="J318" s="874">
        <v>1.9239999999999999</v>
      </c>
      <c r="K318" s="366" t="s">
        <v>187</v>
      </c>
      <c r="L318" s="654">
        <v>2.8490000000000002</v>
      </c>
      <c r="M318" s="187"/>
      <c r="N318" s="827">
        <v>2.234</v>
      </c>
      <c r="AB318"/>
      <c r="AC318"/>
      <c r="AD318"/>
      <c r="AE318"/>
      <c r="AF318"/>
      <c r="AG318"/>
      <c r="AH318"/>
      <c r="AI318"/>
      <c r="AJ318"/>
      <c r="AK318"/>
      <c r="AL318"/>
      <c r="AM318"/>
      <c r="AN318"/>
      <c r="AO318"/>
      <c r="AP318" s="263"/>
      <c r="AQ318" s="274">
        <f>AQ314+1</f>
        <v>228</v>
      </c>
      <c r="AR318">
        <f t="shared" ref="AR318:AR323" si="53">IF(AJ21="tad","tad",AJ21)</f>
        <v>1095.6854058200001</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44">
        <v>117.9</v>
      </c>
      <c r="H319" s="744">
        <v>1.456</v>
      </c>
      <c r="I319" s="744">
        <v>117.97</v>
      </c>
      <c r="J319" s="856">
        <v>1.5669999999999999</v>
      </c>
      <c r="K319" s="366" t="s">
        <v>187</v>
      </c>
      <c r="L319" s="651">
        <v>3.2650000000000001</v>
      </c>
      <c r="M319" s="187"/>
      <c r="N319" s="827">
        <v>3.4159999999999999</v>
      </c>
      <c r="AB319"/>
      <c r="AC319"/>
      <c r="AD319"/>
      <c r="AE319"/>
      <c r="AF319"/>
      <c r="AG319"/>
      <c r="AH319"/>
      <c r="AI319"/>
      <c r="AJ319"/>
      <c r="AK319"/>
      <c r="AL319"/>
      <c r="AM319"/>
      <c r="AN319"/>
      <c r="AO319"/>
      <c r="AP319" s="263"/>
      <c r="AQ319" s="274">
        <f t="shared" si="47"/>
        <v>229</v>
      </c>
      <c r="AR319">
        <f t="shared" si="53"/>
        <v>1092.4872501700002</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44">
        <v>109.27</v>
      </c>
      <c r="H320" s="744">
        <v>1.1399999999999999</v>
      </c>
      <c r="I320" s="744">
        <v>108.2</v>
      </c>
      <c r="J320" s="856">
        <v>0.58799999999999997</v>
      </c>
      <c r="K320" s="366" t="s">
        <v>187</v>
      </c>
      <c r="L320" s="651">
        <v>2.5030000000000001</v>
      </c>
      <c r="M320" s="187"/>
      <c r="N320" s="827">
        <v>1.35</v>
      </c>
      <c r="AB320"/>
      <c r="AC320"/>
      <c r="AD320"/>
      <c r="AE320"/>
      <c r="AF320"/>
      <c r="AG320"/>
      <c r="AH320"/>
      <c r="AI320"/>
      <c r="AJ320"/>
      <c r="AK320"/>
      <c r="AL320"/>
      <c r="AM320"/>
      <c r="AN320"/>
      <c r="AO320"/>
      <c r="AP320" s="263"/>
      <c r="AQ320" s="274">
        <f t="shared" si="47"/>
        <v>230</v>
      </c>
      <c r="AR320">
        <f t="shared" si="53"/>
        <v>1089.5730304199997</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44">
        <v>60.96</v>
      </c>
      <c r="H321" s="814">
        <v>14.58</v>
      </c>
      <c r="I321" s="744">
        <v>65.33</v>
      </c>
      <c r="J321" s="815">
        <v>21.73</v>
      </c>
      <c r="K321" s="366" t="s">
        <v>64</v>
      </c>
      <c r="L321" s="654">
        <v>28.36</v>
      </c>
      <c r="M321" s="187"/>
      <c r="N321" s="827">
        <v>32.07</v>
      </c>
      <c r="AB321"/>
      <c r="AC321"/>
      <c r="AD321"/>
      <c r="AE321"/>
      <c r="AF321"/>
      <c r="AG321"/>
      <c r="AH321"/>
      <c r="AI321"/>
      <c r="AJ321"/>
      <c r="AK321"/>
      <c r="AL321"/>
      <c r="AM321"/>
      <c r="AN321"/>
      <c r="AO321"/>
      <c r="AP321" s="263"/>
      <c r="AQ321" s="274">
        <f t="shared" si="47"/>
        <v>231</v>
      </c>
      <c r="AR321">
        <f t="shared" si="53"/>
        <v>1084.0488003299995</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44">
        <v>170.09</v>
      </c>
      <c r="H322" s="814">
        <v>271.23</v>
      </c>
      <c r="I322" s="744">
        <v>172.11</v>
      </c>
      <c r="J322" s="815">
        <v>263.06</v>
      </c>
      <c r="K322" s="366" t="s">
        <v>340</v>
      </c>
      <c r="L322" s="654">
        <v>318.95999999999998</v>
      </c>
      <c r="M322" s="187"/>
      <c r="N322" s="827">
        <v>250.07</v>
      </c>
      <c r="AB322"/>
      <c r="AC322"/>
      <c r="AD322"/>
      <c r="AE322"/>
      <c r="AF322"/>
      <c r="AG322"/>
      <c r="AH322"/>
      <c r="AI322"/>
      <c r="AJ322"/>
      <c r="AK322"/>
      <c r="AL322"/>
      <c r="AM322"/>
      <c r="AN322"/>
      <c r="AO322"/>
      <c r="AP322" s="263"/>
      <c r="AQ322" s="274">
        <f t="shared" si="47"/>
        <v>232</v>
      </c>
      <c r="AR322">
        <f t="shared" si="53"/>
        <v>1113.58</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44">
        <v>229.48</v>
      </c>
      <c r="H323" s="814">
        <v>5.0738694400000002</v>
      </c>
      <c r="I323" s="744">
        <v>230.19</v>
      </c>
      <c r="J323" s="814">
        <v>8.8523209000000005</v>
      </c>
      <c r="K323" s="366" t="s">
        <v>188</v>
      </c>
      <c r="L323" s="650">
        <v>4.0579597200000004</v>
      </c>
      <c r="M323" s="185"/>
      <c r="N323" s="827">
        <v>3.15</v>
      </c>
      <c r="AB323" s="271"/>
      <c r="AC323" s="271"/>
      <c r="AD323" s="271"/>
      <c r="AE323" s="271"/>
      <c r="AF323" s="271"/>
      <c r="AG323" s="271"/>
      <c r="AH323" s="271"/>
      <c r="AI323" s="271"/>
      <c r="AJ323" s="271"/>
      <c r="AK323" s="271"/>
      <c r="AL323" s="271"/>
      <c r="AM323" s="271"/>
      <c r="AN323" s="271"/>
      <c r="AO323" s="271"/>
      <c r="AP323" s="878"/>
      <c r="AQ323" s="891">
        <f t="shared" si="47"/>
        <v>233</v>
      </c>
      <c r="AR323" s="271">
        <f t="shared" si="53"/>
        <v>1130.95</v>
      </c>
      <c r="AS323" s="271">
        <f t="shared" si="48"/>
        <v>0</v>
      </c>
      <c r="AT323" s="271"/>
      <c r="AU323" s="271"/>
      <c r="AV323" s="271"/>
      <c r="AW323" s="271"/>
      <c r="AX323" s="271"/>
      <c r="AY323" s="271"/>
      <c r="AZ323" s="271"/>
      <c r="BA323" s="271"/>
      <c r="BB323" s="271"/>
      <c r="BC323" s="271"/>
      <c r="BD323" s="271"/>
      <c r="BE323" s="271"/>
    </row>
    <row r="324" spans="2:57" ht="27" customHeight="1" x14ac:dyDescent="0.2">
      <c r="B324" s="288">
        <f t="shared" si="50"/>
        <v>43</v>
      </c>
      <c r="C324" s="287" t="s">
        <v>210</v>
      </c>
      <c r="D324" s="287" t="s">
        <v>76</v>
      </c>
      <c r="E324" s="307">
        <v>149.30000000000001</v>
      </c>
      <c r="F324" s="324">
        <v>17.670000000000002</v>
      </c>
      <c r="G324" s="860">
        <v>141.19999999999999</v>
      </c>
      <c r="H324" s="861">
        <v>8.8000000000000007</v>
      </c>
      <c r="I324" s="860">
        <v>145.55000000000001</v>
      </c>
      <c r="J324" s="862">
        <v>12.24</v>
      </c>
      <c r="K324" s="366" t="s">
        <v>213</v>
      </c>
      <c r="L324" s="655">
        <v>15.56</v>
      </c>
      <c r="M324" s="665"/>
      <c r="N324" s="827">
        <v>10.68</v>
      </c>
      <c r="AB324"/>
      <c r="AC324"/>
      <c r="AD324"/>
      <c r="AE324"/>
      <c r="AF324"/>
      <c r="AG324"/>
      <c r="AH324"/>
      <c r="AI324"/>
      <c r="AJ324"/>
      <c r="AK324"/>
      <c r="AL324"/>
      <c r="AM324"/>
      <c r="AN324"/>
      <c r="AO324"/>
      <c r="AP324" s="263"/>
      <c r="AQ324" s="274">
        <f t="shared" si="47"/>
        <v>234</v>
      </c>
      <c r="AR324">
        <f>IF(AJ28="tad","tad",AJ28)</f>
        <v>1129.81</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49">
        <v>36.85</v>
      </c>
      <c r="H325" s="846">
        <v>0.19600000000000001</v>
      </c>
      <c r="I325" s="867">
        <v>39</v>
      </c>
      <c r="J325" s="856">
        <v>0.254</v>
      </c>
      <c r="K325" s="366"/>
      <c r="L325" s="651">
        <v>0.254</v>
      </c>
      <c r="M325" s="666"/>
      <c r="N325" s="827">
        <v>0.221</v>
      </c>
      <c r="AB325"/>
      <c r="AC325"/>
      <c r="AD325"/>
      <c r="AE325"/>
      <c r="AF325"/>
      <c r="AG325"/>
      <c r="AH325"/>
      <c r="AI325"/>
      <c r="AJ325"/>
      <c r="AK325"/>
      <c r="AL325"/>
      <c r="AM325"/>
      <c r="AN325"/>
      <c r="AO325"/>
      <c r="AP325" s="263"/>
      <c r="AQ325" s="274">
        <f t="shared" si="47"/>
        <v>235</v>
      </c>
      <c r="AR325">
        <f t="shared" ref="AR325:AR334" si="54">IF(AJ28="tad","tad",AJ28)</f>
        <v>1129.81</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64">
        <v>67.94</v>
      </c>
      <c r="H326" s="865">
        <v>0.27800000000000002</v>
      </c>
      <c r="I326" s="852">
        <v>69.599999999999994</v>
      </c>
      <c r="J326" s="856">
        <v>0.45300000000000001</v>
      </c>
      <c r="K326" s="478"/>
      <c r="L326" s="651">
        <v>0.51300000000000001</v>
      </c>
      <c r="M326" s="666"/>
      <c r="N326" s="827">
        <v>0.51300000000000001</v>
      </c>
      <c r="AB326"/>
      <c r="AC326"/>
      <c r="AD326"/>
      <c r="AE326"/>
      <c r="AF326"/>
      <c r="AG326"/>
      <c r="AH326"/>
      <c r="AI326"/>
      <c r="AJ326"/>
      <c r="AK326"/>
      <c r="AL326"/>
      <c r="AM326"/>
      <c r="AN326"/>
      <c r="AO326"/>
      <c r="AP326" s="263"/>
      <c r="AQ326" s="274">
        <f t="shared" si="47"/>
        <v>236</v>
      </c>
      <c r="AR326">
        <f t="shared" si="54"/>
        <v>1126.08</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765.77886943999999</v>
      </c>
      <c r="I327" s="310"/>
      <c r="J327" s="273">
        <f>SUM(J282:J326)</f>
        <v>803.7703209</v>
      </c>
      <c r="K327" s="444"/>
      <c r="L327" s="301"/>
      <c r="M327" s="387"/>
      <c r="N327" s="380"/>
      <c r="AB327"/>
      <c r="AC327"/>
      <c r="AD327"/>
      <c r="AE327"/>
      <c r="AF327"/>
      <c r="AG327"/>
      <c r="AH327"/>
      <c r="AI327"/>
      <c r="AJ327"/>
      <c r="AK327"/>
      <c r="AL327"/>
      <c r="AM327"/>
      <c r="AN327"/>
      <c r="AO327"/>
      <c r="AP327" s="263"/>
      <c r="AQ327" s="274">
        <f t="shared" si="47"/>
        <v>237</v>
      </c>
      <c r="AR327">
        <f t="shared" si="54"/>
        <v>1122.75</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1.0496115170790523</v>
      </c>
      <c r="K328" s="292"/>
      <c r="L328" s="447"/>
      <c r="M328" s="387"/>
      <c r="AB328"/>
      <c r="AC328"/>
      <c r="AD328"/>
      <c r="AE328"/>
      <c r="AF328"/>
      <c r="AG328"/>
      <c r="AH328"/>
      <c r="AI328"/>
      <c r="AJ328"/>
      <c r="AK328"/>
      <c r="AL328"/>
      <c r="AM328"/>
      <c r="AN328"/>
      <c r="AO328"/>
      <c r="AP328" s="263"/>
      <c r="AQ328" s="274">
        <f t="shared" si="47"/>
        <v>238</v>
      </c>
      <c r="AR328">
        <f t="shared" si="54"/>
        <v>1122.6500000000001</v>
      </c>
      <c r="AS328">
        <f t="shared" si="48"/>
        <v>0</v>
      </c>
      <c r="AT328"/>
      <c r="AU328"/>
      <c r="AV328"/>
      <c r="AW328"/>
      <c r="AX328"/>
      <c r="AY328"/>
      <c r="AZ328"/>
      <c r="BA328"/>
      <c r="BB328"/>
      <c r="BC328"/>
      <c r="BD328"/>
      <c r="BE328"/>
    </row>
    <row r="329" spans="2:57" ht="27" customHeight="1" thickBot="1" x14ac:dyDescent="0.25">
      <c r="B329" s="293"/>
      <c r="C329" s="484" t="s">
        <v>214</v>
      </c>
      <c r="D329" s="294"/>
      <c r="E329" s="367">
        <v>1736.79</v>
      </c>
      <c r="F329" s="315">
        <v>1</v>
      </c>
      <c r="G329" s="316" t="s">
        <v>68</v>
      </c>
      <c r="H329" s="315">
        <f>+H327/F327*100%</f>
        <v>0.41769180905218622</v>
      </c>
      <c r="I329" s="317"/>
      <c r="J329" s="259">
        <f>+J327/F327</f>
        <v>0.43841413337075907</v>
      </c>
      <c r="K329" s="292"/>
      <c r="L329" s="448"/>
      <c r="M329" s="387"/>
      <c r="AB329"/>
      <c r="AC329"/>
      <c r="AD329"/>
      <c r="AE329"/>
      <c r="AF329"/>
      <c r="AG329"/>
      <c r="AH329"/>
      <c r="AI329"/>
      <c r="AJ329"/>
      <c r="AK329"/>
      <c r="AL329"/>
      <c r="AM329"/>
      <c r="AN329"/>
      <c r="AO329"/>
      <c r="AP329" s="263"/>
      <c r="AQ329" s="274">
        <f t="shared" si="47"/>
        <v>239</v>
      </c>
      <c r="AR329">
        <f t="shared" si="54"/>
        <v>1117.6500000000001</v>
      </c>
      <c r="AS329">
        <f t="shared" si="48"/>
        <v>0</v>
      </c>
      <c r="AT329"/>
      <c r="AU329"/>
      <c r="AV329"/>
      <c r="AW329"/>
      <c r="AX329"/>
      <c r="AY329"/>
      <c r="AZ329"/>
      <c r="BA329"/>
      <c r="BB329"/>
      <c r="BC329"/>
      <c r="BD329"/>
      <c r="BE329"/>
    </row>
    <row r="330" spans="2:57" ht="27" customHeight="1" thickBot="1" x14ac:dyDescent="0.25">
      <c r="B330" s="293"/>
      <c r="C330" s="484" t="s">
        <v>215</v>
      </c>
      <c r="D330" s="294"/>
      <c r="E330" s="325">
        <f>F327-E329</f>
        <v>96.568598000000293</v>
      </c>
      <c r="F330" s="296"/>
      <c r="G330" s="295"/>
      <c r="H330" s="296"/>
      <c r="I330" s="251"/>
      <c r="J330" s="296"/>
      <c r="K330" s="472"/>
      <c r="L330" s="448"/>
      <c r="M330" s="387"/>
      <c r="AB330"/>
      <c r="AC330"/>
      <c r="AD330"/>
      <c r="AE330"/>
      <c r="AF330"/>
      <c r="AG330"/>
      <c r="AH330"/>
      <c r="AI330"/>
      <c r="AJ330"/>
      <c r="AK330"/>
      <c r="AL330"/>
      <c r="AM330"/>
      <c r="AN330"/>
      <c r="AO330"/>
      <c r="AP330" s="263"/>
      <c r="AQ330" s="274">
        <f t="shared" si="47"/>
        <v>240</v>
      </c>
      <c r="AR330">
        <f t="shared" si="54"/>
        <v>1106.8</v>
      </c>
      <c r="AS330">
        <f t="shared" si="48"/>
        <v>0</v>
      </c>
      <c r="AT330"/>
      <c r="AU330"/>
      <c r="AV330"/>
      <c r="AW330"/>
      <c r="AX330"/>
      <c r="AY330"/>
      <c r="AZ330"/>
      <c r="BA330"/>
      <c r="BB330"/>
      <c r="BC330"/>
      <c r="BD330"/>
      <c r="BE330"/>
    </row>
    <row r="331" spans="2:57" ht="27" customHeight="1" thickBot="1" x14ac:dyDescent="0.35">
      <c r="B331" s="283"/>
      <c r="C331" s="252"/>
      <c r="D331" s="252"/>
      <c r="E331" s="252"/>
      <c r="F331" s="485">
        <v>14</v>
      </c>
      <c r="G331" s="531" t="s">
        <v>252</v>
      </c>
      <c r="H331" s="485">
        <v>2025</v>
      </c>
      <c r="I331" s="252"/>
      <c r="J331" s="252"/>
      <c r="K331" s="299"/>
      <c r="L331" s="379"/>
      <c r="M331" s="387"/>
      <c r="AB331"/>
      <c r="AC331"/>
      <c r="AD331"/>
      <c r="AE331"/>
      <c r="AF331"/>
      <c r="AG331"/>
      <c r="AH331"/>
      <c r="AI331"/>
      <c r="AJ331"/>
      <c r="AK331"/>
      <c r="AL331"/>
      <c r="AM331"/>
      <c r="AN331"/>
      <c r="AO331"/>
      <c r="AP331" s="263"/>
      <c r="AQ331" s="274">
        <f t="shared" si="47"/>
        <v>241</v>
      </c>
      <c r="AR331">
        <f t="shared" si="54"/>
        <v>1098</v>
      </c>
      <c r="AS331">
        <f t="shared" si="48"/>
        <v>0</v>
      </c>
      <c r="AT331"/>
      <c r="AU331"/>
      <c r="AV331"/>
      <c r="AW331"/>
      <c r="AX331"/>
      <c r="AY331"/>
      <c r="AZ331"/>
      <c r="BA331"/>
      <c r="BB331"/>
      <c r="BC331"/>
      <c r="BD331"/>
      <c r="BE331"/>
    </row>
    <row r="332" spans="2:57" ht="27" customHeight="1" x14ac:dyDescent="0.2">
      <c r="B332" s="371" t="s">
        <v>18</v>
      </c>
      <c r="C332" s="374" t="s">
        <v>19</v>
      </c>
      <c r="D332" s="374" t="s">
        <v>73</v>
      </c>
      <c r="E332" s="731" t="s">
        <v>20</v>
      </c>
      <c r="F332" s="732"/>
      <c r="G332" s="731" t="s">
        <v>94</v>
      </c>
      <c r="H332" s="732"/>
      <c r="I332" s="731" t="s">
        <v>22</v>
      </c>
      <c r="J332" s="732"/>
      <c r="K332" s="368" t="s">
        <v>160</v>
      </c>
      <c r="M332" s="387"/>
      <c r="AB332"/>
      <c r="AC332"/>
      <c r="AD332"/>
      <c r="AE332"/>
      <c r="AF332"/>
      <c r="AG332"/>
      <c r="AH332"/>
      <c r="AI332"/>
      <c r="AJ332"/>
      <c r="AK332"/>
      <c r="AL332"/>
      <c r="AM332"/>
      <c r="AN332"/>
      <c r="AO332"/>
      <c r="AP332" s="263"/>
      <c r="AQ332" s="274">
        <f t="shared" si="47"/>
        <v>242</v>
      </c>
      <c r="AR332">
        <f t="shared" si="54"/>
        <v>1095.69</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1092.49</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1089.57</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1084.05</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48">
        <v>53.47</v>
      </c>
      <c r="H336" s="868">
        <v>19.048999999999999</v>
      </c>
      <c r="I336" s="869">
        <v>50.31</v>
      </c>
      <c r="J336" s="649">
        <v>7.7039999999999997</v>
      </c>
      <c r="K336" s="303" t="s">
        <v>179</v>
      </c>
      <c r="M336" s="828">
        <v>10.507</v>
      </c>
      <c r="AB336"/>
      <c r="AC336"/>
      <c r="AD336"/>
      <c r="AE336"/>
      <c r="AF336"/>
      <c r="AG336"/>
      <c r="AH336"/>
      <c r="AI336"/>
      <c r="AJ336"/>
      <c r="AK336"/>
      <c r="AL336"/>
      <c r="AM336"/>
      <c r="AN336"/>
      <c r="AO336"/>
      <c r="AP336" s="263"/>
      <c r="AQ336" s="274">
        <f t="shared" si="47"/>
        <v>246</v>
      </c>
      <c r="AR336">
        <f>IF(AK8="tad","tad",AK8)</f>
        <v>1080.02</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44">
        <v>339.5</v>
      </c>
      <c r="H337" s="814">
        <v>7.77</v>
      </c>
      <c r="I337" s="744">
        <v>339.54</v>
      </c>
      <c r="J337" s="814">
        <v>7.8</v>
      </c>
      <c r="K337" s="303" t="s">
        <v>180</v>
      </c>
      <c r="M337" s="828">
        <v>6.585</v>
      </c>
      <c r="AB337"/>
      <c r="AC337"/>
      <c r="AD337"/>
      <c r="AE337"/>
      <c r="AF337"/>
      <c r="AG337"/>
      <c r="AH337"/>
      <c r="AI337"/>
      <c r="AJ337"/>
      <c r="AK337"/>
      <c r="AL337"/>
      <c r="AM337"/>
      <c r="AN337"/>
      <c r="AO337"/>
      <c r="AP337" s="263"/>
      <c r="AQ337" s="274">
        <f t="shared" si="47"/>
        <v>247</v>
      </c>
      <c r="AR337">
        <f>IF(AK9="tad","tad",AK9)</f>
        <v>1057.49</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44">
        <v>70.2</v>
      </c>
      <c r="H338" s="814">
        <v>13.467000000000001</v>
      </c>
      <c r="I338" s="744">
        <v>70.64</v>
      </c>
      <c r="J338" s="814">
        <v>14.815</v>
      </c>
      <c r="K338" s="303" t="s">
        <v>30</v>
      </c>
      <c r="M338" s="828">
        <v>32.857999999999997</v>
      </c>
      <c r="AB338"/>
      <c r="AC338"/>
      <c r="AD338"/>
      <c r="AE338"/>
      <c r="AF338"/>
      <c r="AG338"/>
      <c r="AH338"/>
      <c r="AI338"/>
      <c r="AJ338"/>
      <c r="AK338"/>
      <c r="AL338"/>
      <c r="AM338"/>
      <c r="AN338"/>
      <c r="AO338"/>
      <c r="AP338" s="263"/>
      <c r="AQ338" s="274">
        <f t="shared" si="47"/>
        <v>248</v>
      </c>
      <c r="AR338">
        <f>IF(AK10="tad","tad",AK10)</f>
        <v>1048.1600000000001</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44">
        <v>461.3</v>
      </c>
      <c r="H339" s="744">
        <v>19.064</v>
      </c>
      <c r="I339" s="846">
        <v>461.13</v>
      </c>
      <c r="J339" s="870">
        <v>17.05</v>
      </c>
      <c r="K339" s="303" t="s">
        <v>181</v>
      </c>
      <c r="M339" s="829">
        <v>26.466999999999999</v>
      </c>
      <c r="AB339"/>
      <c r="AC339"/>
      <c r="AD339"/>
      <c r="AE339"/>
      <c r="AF339"/>
      <c r="AG339"/>
      <c r="AH339"/>
      <c r="AI339"/>
      <c r="AJ339"/>
      <c r="AK339"/>
      <c r="AL339"/>
      <c r="AM339"/>
      <c r="AN339"/>
      <c r="AO339"/>
      <c r="AP339" s="263"/>
      <c r="AQ339" s="274">
        <f t="shared" si="47"/>
        <v>249</v>
      </c>
      <c r="AR339">
        <f>IF(AK11="tad","tad",AK11)</f>
        <v>1056.1500000000001</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44">
        <v>198</v>
      </c>
      <c r="H340" s="745">
        <v>2.1840000000000002</v>
      </c>
      <c r="I340" s="847">
        <v>207.01</v>
      </c>
      <c r="J340" s="814">
        <v>2.5209999999999999</v>
      </c>
      <c r="K340" s="303" t="s">
        <v>182</v>
      </c>
      <c r="M340" s="829">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44">
        <v>312.93</v>
      </c>
      <c r="H341" s="745">
        <v>1.8009999999999999</v>
      </c>
      <c r="I341" s="847">
        <v>315.25</v>
      </c>
      <c r="J341" s="814">
        <v>2.6509999999999998</v>
      </c>
      <c r="K341" s="303" t="s">
        <v>182</v>
      </c>
      <c r="M341" s="829">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44">
        <v>82</v>
      </c>
      <c r="H342" s="744">
        <v>297.44299999999998</v>
      </c>
      <c r="I342" s="847">
        <v>82.62</v>
      </c>
      <c r="J342" s="814">
        <v>313.86</v>
      </c>
      <c r="K342" s="303">
        <v>0</v>
      </c>
      <c r="M342" s="829">
        <v>191.45699999999999</v>
      </c>
      <c r="AB342"/>
      <c r="AC342"/>
      <c r="AD342"/>
      <c r="AE342"/>
      <c r="AF342"/>
      <c r="AG342"/>
      <c r="AH342"/>
      <c r="AI342"/>
      <c r="AJ342"/>
      <c r="AK342"/>
      <c r="AL342"/>
      <c r="AM342"/>
      <c r="AN342"/>
      <c r="AO342"/>
      <c r="AP342" s="263"/>
      <c r="AQ342" s="274">
        <f>AQ339+1</f>
        <v>250</v>
      </c>
      <c r="AR342">
        <f t="shared" ref="AR342:AR357" si="55">IF(AK12="tad","tad",AK12)</f>
        <v>1048.6600000000001</v>
      </c>
      <c r="AS342">
        <f t="shared" si="48"/>
        <v>0</v>
      </c>
      <c r="AT342"/>
      <c r="AU342"/>
      <c r="AV342"/>
      <c r="AW342"/>
      <c r="AX342"/>
      <c r="AY342"/>
      <c r="AZ342"/>
      <c r="BA342"/>
      <c r="BB342"/>
      <c r="BC342"/>
      <c r="BD342"/>
      <c r="BE342"/>
    </row>
    <row r="343" spans="2:57" ht="27" customHeight="1" x14ac:dyDescent="0.2">
      <c r="B343" s="741">
        <v>8</v>
      </c>
      <c r="C343" s="568" t="s">
        <v>332</v>
      </c>
      <c r="D343" s="568" t="s">
        <v>334</v>
      </c>
      <c r="E343" s="568">
        <v>88.5</v>
      </c>
      <c r="F343" s="568">
        <v>20.149999999999999</v>
      </c>
      <c r="G343" s="743">
        <v>83.02</v>
      </c>
      <c r="H343" s="743">
        <v>13.439</v>
      </c>
      <c r="I343" s="743">
        <v>86.14</v>
      </c>
      <c r="J343" s="743">
        <v>16.670000000000002</v>
      </c>
      <c r="K343" s="739"/>
      <c r="L343" s="304"/>
      <c r="M343" s="829">
        <v>14.135</v>
      </c>
      <c r="AB343"/>
      <c r="AC343"/>
      <c r="AD343"/>
      <c r="AE343"/>
      <c r="AF343"/>
      <c r="AG343"/>
      <c r="AH343"/>
      <c r="AI343"/>
      <c r="AJ343"/>
      <c r="AK343"/>
      <c r="AL343"/>
      <c r="AM343"/>
      <c r="AN343"/>
      <c r="AO343"/>
      <c r="AP343" s="263"/>
      <c r="AQ343" s="274">
        <f t="shared" si="47"/>
        <v>251</v>
      </c>
      <c r="AR343">
        <f t="shared" si="55"/>
        <v>1024.25</v>
      </c>
      <c r="AS343">
        <f t="shared" si="48"/>
        <v>0</v>
      </c>
      <c r="AT343"/>
      <c r="AU343"/>
      <c r="AV343"/>
      <c r="AW343"/>
      <c r="AX343"/>
      <c r="AY343"/>
      <c r="AZ343"/>
      <c r="BA343"/>
      <c r="BB343"/>
      <c r="BC343"/>
      <c r="BD343"/>
      <c r="BE343"/>
    </row>
    <row r="344" spans="2:57" ht="27" customHeight="1" x14ac:dyDescent="0.2">
      <c r="B344" s="741">
        <v>9</v>
      </c>
      <c r="C344" s="568" t="s">
        <v>333</v>
      </c>
      <c r="D344" s="568" t="s">
        <v>79</v>
      </c>
      <c r="E344" s="568">
        <v>94.27</v>
      </c>
      <c r="F344" s="568">
        <v>10.41</v>
      </c>
      <c r="G344" s="743">
        <v>91.88</v>
      </c>
      <c r="H344" s="743">
        <v>7.2279999999999998</v>
      </c>
      <c r="I344" s="743">
        <v>93.66</v>
      </c>
      <c r="J344" s="743">
        <v>9.3569999999999993</v>
      </c>
      <c r="K344" s="739"/>
      <c r="L344" s="304"/>
      <c r="M344" s="830">
        <v>8.0239999999999991</v>
      </c>
      <c r="AB344"/>
      <c r="AC344"/>
      <c r="AD344"/>
      <c r="AE344"/>
      <c r="AF344"/>
      <c r="AG344"/>
      <c r="AH344"/>
      <c r="AI344"/>
      <c r="AJ344"/>
      <c r="AK344"/>
      <c r="AL344"/>
      <c r="AM344"/>
      <c r="AN344"/>
      <c r="AO344"/>
      <c r="AP344" s="263"/>
      <c r="AQ344" s="274">
        <f t="shared" si="47"/>
        <v>252</v>
      </c>
      <c r="AR344">
        <f t="shared" si="55"/>
        <v>1036.5999999999999</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44">
        <v>116.42</v>
      </c>
      <c r="H345" s="814">
        <v>0.33600000000000002</v>
      </c>
      <c r="I345" s="855">
        <v>118.2</v>
      </c>
      <c r="J345" s="814">
        <v>0.90600000000000003</v>
      </c>
      <c r="K345" s="303" t="s">
        <v>184</v>
      </c>
      <c r="L345" s="304"/>
      <c r="M345" s="829">
        <v>0.55600000000000005</v>
      </c>
      <c r="AB345"/>
      <c r="AC345"/>
      <c r="AD345"/>
      <c r="AE345"/>
      <c r="AF345"/>
      <c r="AG345"/>
      <c r="AH345"/>
      <c r="AI345"/>
      <c r="AJ345"/>
      <c r="AK345"/>
      <c r="AL345"/>
      <c r="AM345"/>
      <c r="AN345"/>
      <c r="AO345"/>
      <c r="AP345" s="263"/>
      <c r="AQ345" s="274">
        <f t="shared" si="47"/>
        <v>253</v>
      </c>
      <c r="AR345">
        <f t="shared" si="55"/>
        <v>1028.24</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44">
        <v>116.97</v>
      </c>
      <c r="H346" s="814">
        <v>0.42299999999999999</v>
      </c>
      <c r="I346" s="847">
        <v>118.25</v>
      </c>
      <c r="J346" s="871">
        <v>0.96599999999999997</v>
      </c>
      <c r="K346" s="303" t="s">
        <v>184</v>
      </c>
      <c r="L346" s="304"/>
      <c r="M346" s="829">
        <v>0.61899999999999999</v>
      </c>
      <c r="AB346"/>
      <c r="AC346"/>
      <c r="AD346"/>
      <c r="AE346"/>
      <c r="AF346"/>
      <c r="AG346"/>
      <c r="AH346"/>
      <c r="AI346"/>
      <c r="AJ346"/>
      <c r="AK346"/>
      <c r="AL346"/>
      <c r="AM346"/>
      <c r="AN346"/>
      <c r="AO346"/>
      <c r="AP346" s="263"/>
      <c r="AQ346" s="274">
        <f t="shared" si="47"/>
        <v>254</v>
      </c>
      <c r="AR346">
        <f t="shared" si="55"/>
        <v>1018.47</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44">
        <v>43.25</v>
      </c>
      <c r="H347" s="744">
        <v>2.879</v>
      </c>
      <c r="I347" s="847">
        <v>44.86</v>
      </c>
      <c r="J347" s="814">
        <v>3.2149999999999999</v>
      </c>
      <c r="K347" s="303" t="s">
        <v>185</v>
      </c>
      <c r="L347" s="304"/>
      <c r="M347" s="830">
        <v>1.47</v>
      </c>
      <c r="AB347"/>
      <c r="AC347"/>
      <c r="AD347"/>
      <c r="AE347"/>
      <c r="AF347"/>
      <c r="AG347"/>
      <c r="AH347"/>
      <c r="AI347"/>
      <c r="AJ347"/>
      <c r="AK347"/>
      <c r="AL347"/>
      <c r="AM347"/>
      <c r="AN347"/>
      <c r="AO347"/>
      <c r="AP347" s="263"/>
      <c r="AQ347" s="274">
        <f t="shared" si="47"/>
        <v>255</v>
      </c>
      <c r="AR347">
        <f t="shared" si="55"/>
        <v>1011.56</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44">
        <v>48.37</v>
      </c>
      <c r="H348" s="744">
        <v>0.33</v>
      </c>
      <c r="I348" s="850">
        <v>50.94</v>
      </c>
      <c r="J348" s="814">
        <v>1.19</v>
      </c>
      <c r="K348" s="303" t="s">
        <v>186</v>
      </c>
      <c r="L348" s="304"/>
      <c r="M348" s="830">
        <v>1.026</v>
      </c>
      <c r="AB348"/>
      <c r="AC348"/>
      <c r="AD348"/>
      <c r="AE348"/>
      <c r="AF348"/>
      <c r="AG348"/>
      <c r="AH348"/>
      <c r="AI348"/>
      <c r="AJ348"/>
      <c r="AK348"/>
      <c r="AL348"/>
      <c r="AM348"/>
      <c r="AN348"/>
      <c r="AO348"/>
      <c r="AP348" s="263"/>
      <c r="AQ348" s="274">
        <f t="shared" si="47"/>
        <v>256</v>
      </c>
      <c r="AR348">
        <f t="shared" si="55"/>
        <v>1015.2</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44">
        <v>74.209999999999994</v>
      </c>
      <c r="H349" s="851">
        <v>0.221</v>
      </c>
      <c r="I349" s="847">
        <v>76.92</v>
      </c>
      <c r="J349" s="814">
        <v>0.57099999999999995</v>
      </c>
      <c r="K349" s="303" t="s">
        <v>184</v>
      </c>
      <c r="L349" s="304"/>
      <c r="M349" s="830">
        <v>0.36499999999999999</v>
      </c>
      <c r="AB349"/>
      <c r="AC349"/>
      <c r="AD349"/>
      <c r="AE349"/>
      <c r="AF349"/>
      <c r="AG349"/>
      <c r="AH349"/>
      <c r="AI349"/>
      <c r="AJ349"/>
      <c r="AK349"/>
      <c r="AL349"/>
      <c r="AM349"/>
      <c r="AN349"/>
      <c r="AO349"/>
      <c r="AP349" s="263"/>
      <c r="AQ349" s="274">
        <f t="shared" si="47"/>
        <v>257</v>
      </c>
      <c r="AR349">
        <f t="shared" si="55"/>
        <v>1004.52</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44">
        <v>78.010000000000005</v>
      </c>
      <c r="H350" s="814">
        <v>0.03</v>
      </c>
      <c r="I350" s="847">
        <v>80.989999999999995</v>
      </c>
      <c r="J350" s="814">
        <v>0.23200000000000001</v>
      </c>
      <c r="K350" s="303" t="s">
        <v>184</v>
      </c>
      <c r="L350" s="304"/>
      <c r="M350" s="829">
        <v>0.253</v>
      </c>
      <c r="AB350"/>
      <c r="AC350"/>
      <c r="AD350"/>
      <c r="AE350"/>
      <c r="AF350"/>
      <c r="AG350"/>
      <c r="AH350"/>
      <c r="AI350"/>
      <c r="AJ350"/>
      <c r="AK350"/>
      <c r="AL350"/>
      <c r="AM350"/>
      <c r="AN350"/>
      <c r="AO350"/>
      <c r="AP350" s="263"/>
      <c r="AQ350" s="274">
        <f t="shared" ref="AQ350:AQ413" si="57">AQ349+1</f>
        <v>258</v>
      </c>
      <c r="AR350">
        <f t="shared" si="55"/>
        <v>995.83</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44">
        <v>60.34</v>
      </c>
      <c r="H351" s="744">
        <v>6.0999999999999999E-2</v>
      </c>
      <c r="I351" s="847">
        <v>63.21</v>
      </c>
      <c r="J351" s="814">
        <v>0.16600000000000001</v>
      </c>
      <c r="K351" s="303" t="s">
        <v>184</v>
      </c>
      <c r="L351" s="304"/>
      <c r="M351" s="830">
        <v>0.14899999999999999</v>
      </c>
      <c r="AB351"/>
      <c r="AC351"/>
      <c r="AD351"/>
      <c r="AE351"/>
      <c r="AF351"/>
      <c r="AG351"/>
      <c r="AH351"/>
      <c r="AI351"/>
      <c r="AJ351"/>
      <c r="AK351"/>
      <c r="AL351"/>
      <c r="AM351"/>
      <c r="AN351"/>
      <c r="AO351"/>
      <c r="AP351" s="263"/>
      <c r="AQ351" s="274">
        <f t="shared" si="57"/>
        <v>259</v>
      </c>
      <c r="AR351">
        <f t="shared" si="55"/>
        <v>993.77</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44">
        <v>44.46</v>
      </c>
      <c r="H352" s="814">
        <v>7.5999999999999998E-2</v>
      </c>
      <c r="I352" s="847">
        <v>46.85</v>
      </c>
      <c r="J352" s="814">
        <v>8.5000000000000006E-2</v>
      </c>
      <c r="K352" s="303" t="s">
        <v>184</v>
      </c>
      <c r="L352" s="304"/>
      <c r="M352" s="829">
        <v>9.0999999999999998E-2</v>
      </c>
      <c r="AB352"/>
      <c r="AC352"/>
      <c r="AD352"/>
      <c r="AE352"/>
      <c r="AF352"/>
      <c r="AG352"/>
      <c r="AH352"/>
      <c r="AI352"/>
      <c r="AJ352"/>
      <c r="AK352"/>
      <c r="AL352"/>
      <c r="AM352"/>
      <c r="AN352"/>
      <c r="AO352"/>
      <c r="AP352" s="263"/>
      <c r="AQ352" s="274">
        <f t="shared" si="57"/>
        <v>260</v>
      </c>
      <c r="AR352">
        <f t="shared" si="55"/>
        <v>966.05</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44">
        <v>127.72</v>
      </c>
      <c r="H353" s="744">
        <v>55.326999999999998</v>
      </c>
      <c r="I353" s="744">
        <v>128.16</v>
      </c>
      <c r="J353" s="856">
        <v>64.486999999999995</v>
      </c>
      <c r="K353" s="303" t="s">
        <v>187</v>
      </c>
      <c r="L353" s="304"/>
      <c r="M353" s="829">
        <v>257.31099999999998</v>
      </c>
      <c r="AB353"/>
      <c r="AC353"/>
      <c r="AD353"/>
      <c r="AE353"/>
      <c r="AF353"/>
      <c r="AG353"/>
      <c r="AH353"/>
      <c r="AI353"/>
      <c r="AJ353"/>
      <c r="AK353"/>
      <c r="AL353"/>
      <c r="AM353"/>
      <c r="AN353"/>
      <c r="AO353"/>
      <c r="AP353" s="263"/>
      <c r="AQ353" s="274">
        <f t="shared" si="57"/>
        <v>261</v>
      </c>
      <c r="AR353">
        <f t="shared" si="55"/>
        <v>985.35</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44">
        <v>176.32</v>
      </c>
      <c r="H354" s="744">
        <v>10.382</v>
      </c>
      <c r="I354" s="744">
        <v>182.74</v>
      </c>
      <c r="J354" s="856">
        <v>20.692</v>
      </c>
      <c r="K354" s="303" t="s">
        <v>187</v>
      </c>
      <c r="L354" s="304"/>
      <c r="M354" s="830">
        <v>22.460999999999999</v>
      </c>
      <c r="AB354"/>
      <c r="AC354"/>
      <c r="AD354"/>
      <c r="AE354"/>
      <c r="AF354"/>
      <c r="AG354"/>
      <c r="AH354"/>
      <c r="AI354"/>
      <c r="AJ354"/>
      <c r="AK354"/>
      <c r="AL354"/>
      <c r="AM354"/>
      <c r="AN354"/>
      <c r="AO354"/>
      <c r="AP354" s="263"/>
      <c r="AQ354" s="274">
        <f t="shared" si="57"/>
        <v>262</v>
      </c>
      <c r="AR354">
        <f t="shared" si="55"/>
        <v>1000.05</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44">
        <v>106.04</v>
      </c>
      <c r="H355" s="744">
        <v>0.13400000000000001</v>
      </c>
      <c r="I355" s="744">
        <v>103</v>
      </c>
      <c r="J355" s="856">
        <v>0</v>
      </c>
      <c r="K355" s="303" t="s">
        <v>187</v>
      </c>
      <c r="L355" s="304"/>
      <c r="M355" s="830">
        <v>1.127</v>
      </c>
      <c r="AB355"/>
      <c r="AC355"/>
      <c r="AD355"/>
      <c r="AE355"/>
      <c r="AF355"/>
      <c r="AG355"/>
      <c r="AH355"/>
      <c r="AI355"/>
      <c r="AJ355"/>
      <c r="AK355"/>
      <c r="AL355"/>
      <c r="AM355"/>
      <c r="AN355"/>
      <c r="AO355"/>
      <c r="AP355" s="263"/>
      <c r="AQ355" s="274">
        <f t="shared" si="57"/>
        <v>263</v>
      </c>
      <c r="AR355">
        <f t="shared" si="55"/>
        <v>987</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44">
        <v>200.81</v>
      </c>
      <c r="H356" s="744">
        <v>6.3E-2</v>
      </c>
      <c r="I356" s="745">
        <v>200.53</v>
      </c>
      <c r="J356" s="856">
        <v>5.0999999999999997E-2</v>
      </c>
      <c r="K356" s="303" t="s">
        <v>187</v>
      </c>
      <c r="L356" s="304"/>
      <c r="M356" s="830">
        <v>0.313</v>
      </c>
      <c r="AB356"/>
      <c r="AC356"/>
      <c r="AD356"/>
      <c r="AE356"/>
      <c r="AF356"/>
      <c r="AG356"/>
      <c r="AH356"/>
      <c r="AI356"/>
      <c r="AJ356"/>
      <c r="AK356"/>
      <c r="AL356"/>
      <c r="AM356"/>
      <c r="AN356"/>
      <c r="AO356"/>
      <c r="AP356" s="263"/>
      <c r="AQ356" s="274">
        <f t="shared" si="57"/>
        <v>264</v>
      </c>
      <c r="AR356">
        <f t="shared" si="55"/>
        <v>985.14</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44">
        <v>218.01</v>
      </c>
      <c r="H357" s="744">
        <v>6.5000000000000002E-2</v>
      </c>
      <c r="I357" s="744">
        <v>221.95</v>
      </c>
      <c r="J357" s="856">
        <v>0.26900000000000002</v>
      </c>
      <c r="K357" s="303" t="s">
        <v>187</v>
      </c>
      <c r="L357" s="304"/>
      <c r="M357" s="831">
        <v>0.41399999999999998</v>
      </c>
      <c r="AB357"/>
      <c r="AC357"/>
      <c r="AD357"/>
      <c r="AE357"/>
      <c r="AF357"/>
      <c r="AG357"/>
      <c r="AH357"/>
      <c r="AI357"/>
      <c r="AJ357"/>
      <c r="AK357"/>
      <c r="AL357"/>
      <c r="AM357"/>
      <c r="AN357"/>
      <c r="AO357"/>
      <c r="AP357" s="263"/>
      <c r="AQ357" s="274">
        <f t="shared" si="57"/>
        <v>265</v>
      </c>
      <c r="AR357">
        <f t="shared" si="55"/>
        <v>978.77</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44">
        <v>189.65</v>
      </c>
      <c r="H358" s="744">
        <v>1.7999999999999999E-2</v>
      </c>
      <c r="I358" s="745">
        <v>191.81</v>
      </c>
      <c r="J358" s="857">
        <v>0.14799999999999999</v>
      </c>
      <c r="K358" s="303" t="s">
        <v>187</v>
      </c>
      <c r="L358" s="304"/>
      <c r="M358" s="831">
        <v>0.78100000000000003</v>
      </c>
      <c r="AB358"/>
      <c r="AC358"/>
      <c r="AD358"/>
      <c r="AE358"/>
      <c r="AF358"/>
      <c r="AG358"/>
      <c r="AH358"/>
      <c r="AI358"/>
      <c r="AJ358"/>
      <c r="AK358"/>
      <c r="AL358"/>
      <c r="AM358"/>
      <c r="AN358"/>
      <c r="AO358"/>
      <c r="AP358" s="263"/>
      <c r="AQ358" s="274">
        <f t="shared" si="57"/>
        <v>266</v>
      </c>
      <c r="AR358">
        <f t="shared" ref="AR358:AR366" si="59">IF(AK27="tad","tad",AK27)</f>
        <v>978.77</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44">
        <v>162.33000000000001</v>
      </c>
      <c r="H359" s="744">
        <v>2.5999999999999999E-2</v>
      </c>
      <c r="I359" s="745">
        <v>163.98</v>
      </c>
      <c r="J359" s="856">
        <v>0.13100000000000001</v>
      </c>
      <c r="K359" s="303" t="s">
        <v>187</v>
      </c>
      <c r="L359" s="304"/>
      <c r="M359" s="829">
        <v>0.33600000000000002</v>
      </c>
      <c r="AB359"/>
      <c r="AC359"/>
      <c r="AD359"/>
      <c r="AE359"/>
      <c r="AF359"/>
      <c r="AG359"/>
      <c r="AH359"/>
      <c r="AI359"/>
      <c r="AJ359"/>
      <c r="AK359"/>
      <c r="AL359"/>
      <c r="AM359"/>
      <c r="AN359"/>
      <c r="AO359"/>
      <c r="AP359" s="263"/>
      <c r="AQ359" s="274">
        <f t="shared" si="57"/>
        <v>267</v>
      </c>
      <c r="AR359">
        <f t="shared" si="59"/>
        <v>975.93</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44">
        <v>220.3</v>
      </c>
      <c r="H360" s="744">
        <v>7.8E-2</v>
      </c>
      <c r="I360" s="745">
        <v>221.85</v>
      </c>
      <c r="J360" s="856">
        <v>0.152</v>
      </c>
      <c r="K360" s="303" t="s">
        <v>187</v>
      </c>
      <c r="L360" s="304"/>
      <c r="M360" s="829">
        <v>0.69499999999999995</v>
      </c>
      <c r="AB360"/>
      <c r="AC360"/>
      <c r="AD360"/>
      <c r="AE360"/>
      <c r="AF360"/>
      <c r="AG360"/>
      <c r="AH360"/>
      <c r="AI360"/>
      <c r="AJ360"/>
      <c r="AK360"/>
      <c r="AL360"/>
      <c r="AM360"/>
      <c r="AN360"/>
      <c r="AO360"/>
      <c r="AP360" s="263"/>
      <c r="AQ360" s="274">
        <f t="shared" si="57"/>
        <v>268</v>
      </c>
      <c r="AR360">
        <f t="shared" si="59"/>
        <v>969.88</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48">
        <v>239.7</v>
      </c>
      <c r="H361" s="848">
        <v>2.5999999999999999E-2</v>
      </c>
      <c r="I361" s="858">
        <v>240.82</v>
      </c>
      <c r="J361" s="859">
        <v>9.4E-2</v>
      </c>
      <c r="K361" s="377" t="s">
        <v>187</v>
      </c>
      <c r="L361" s="304"/>
      <c r="M361" s="831">
        <v>1.671</v>
      </c>
      <c r="AB361"/>
      <c r="AC361"/>
      <c r="AD361"/>
      <c r="AE361"/>
      <c r="AF361"/>
      <c r="AG361"/>
      <c r="AH361"/>
      <c r="AI361"/>
      <c r="AJ361"/>
      <c r="AK361"/>
      <c r="AL361"/>
      <c r="AM361"/>
      <c r="AN361"/>
      <c r="AO361"/>
      <c r="AP361" s="263"/>
      <c r="AQ361" s="274">
        <f t="shared" si="57"/>
        <v>269</v>
      </c>
      <c r="AR361">
        <f t="shared" si="59"/>
        <v>960.11</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44">
        <v>502.05</v>
      </c>
      <c r="H362" s="744">
        <v>3.2349999999999999</v>
      </c>
      <c r="I362" s="745">
        <v>506.54</v>
      </c>
      <c r="J362" s="857">
        <v>4.3730000000000002</v>
      </c>
      <c r="K362" s="303" t="s">
        <v>187</v>
      </c>
      <c r="L362" s="304"/>
      <c r="M362" s="832">
        <v>7.09</v>
      </c>
      <c r="AB362"/>
      <c r="AC362"/>
      <c r="AD362"/>
      <c r="AE362"/>
      <c r="AF362"/>
      <c r="AG362"/>
      <c r="AH362"/>
      <c r="AI362"/>
      <c r="AJ362"/>
      <c r="AK362"/>
      <c r="AL362"/>
      <c r="AM362"/>
      <c r="AN362"/>
      <c r="AO362"/>
      <c r="AP362" s="263"/>
      <c r="AQ362" s="274">
        <f t="shared" si="57"/>
        <v>270</v>
      </c>
      <c r="AR362">
        <f t="shared" si="59"/>
        <v>953.02</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44">
        <v>148.21</v>
      </c>
      <c r="H363" s="744">
        <v>2.1749999999999998</v>
      </c>
      <c r="I363" s="744">
        <v>149.5</v>
      </c>
      <c r="J363" s="857">
        <v>2.911</v>
      </c>
      <c r="K363" s="303" t="s">
        <v>187</v>
      </c>
      <c r="L363" s="304"/>
      <c r="M363" s="831">
        <v>2.625</v>
      </c>
      <c r="AB363"/>
      <c r="AC363"/>
      <c r="AD363"/>
      <c r="AE363"/>
      <c r="AF363"/>
      <c r="AG363"/>
      <c r="AH363"/>
      <c r="AI363"/>
      <c r="AJ363"/>
      <c r="AK363"/>
      <c r="AL363"/>
      <c r="AM363"/>
      <c r="AN363"/>
      <c r="AO363"/>
      <c r="AP363" s="263"/>
      <c r="AQ363" s="274">
        <f t="shared" si="57"/>
        <v>271</v>
      </c>
      <c r="AR363">
        <f t="shared" si="59"/>
        <v>949.73</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45">
        <v>198.9</v>
      </c>
      <c r="H364" s="745">
        <v>0.58699999999999997</v>
      </c>
      <c r="I364" s="744">
        <v>200.61</v>
      </c>
      <c r="J364" s="856">
        <v>1.1319999999999999</v>
      </c>
      <c r="K364" s="303" t="s">
        <v>187</v>
      </c>
      <c r="L364" s="304"/>
      <c r="M364" s="833">
        <v>3.0880000000000001</v>
      </c>
      <c r="AB364"/>
      <c r="AC364"/>
      <c r="AD364"/>
      <c r="AE364"/>
      <c r="AF364"/>
      <c r="AG364"/>
      <c r="AH364"/>
      <c r="AI364"/>
      <c r="AJ364"/>
      <c r="AK364"/>
      <c r="AL364"/>
      <c r="AM364"/>
      <c r="AN364"/>
      <c r="AO364"/>
      <c r="AP364" s="263"/>
      <c r="AQ364" s="274">
        <f t="shared" si="57"/>
        <v>272</v>
      </c>
      <c r="AR364">
        <f t="shared" si="59"/>
        <v>943.86</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45">
        <v>319.64999999999998</v>
      </c>
      <c r="H365" s="745">
        <v>0.16900000000000001</v>
      </c>
      <c r="I365" s="745">
        <v>319.7</v>
      </c>
      <c r="J365" s="857">
        <v>0.17199999999999999</v>
      </c>
      <c r="K365" s="303" t="s">
        <v>187</v>
      </c>
      <c r="L365" s="304"/>
      <c r="M365" s="829">
        <v>0.61699999999999999</v>
      </c>
      <c r="AB365"/>
      <c r="AC365"/>
      <c r="AD365"/>
      <c r="AE365"/>
      <c r="AF365"/>
      <c r="AG365"/>
      <c r="AH365"/>
      <c r="AI365"/>
      <c r="AJ365"/>
      <c r="AK365"/>
      <c r="AL365"/>
      <c r="AM365"/>
      <c r="AN365"/>
      <c r="AO365"/>
      <c r="AP365" s="263"/>
      <c r="AQ365" s="274">
        <f t="shared" si="57"/>
        <v>273</v>
      </c>
      <c r="AR365">
        <f t="shared" si="59"/>
        <v>934.47</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44">
        <v>123.95</v>
      </c>
      <c r="H366" s="744">
        <v>8.7999999999999995E-2</v>
      </c>
      <c r="I366" s="745">
        <v>124.64</v>
      </c>
      <c r="J366" s="856">
        <v>0.155</v>
      </c>
      <c r="K366" s="303" t="s">
        <v>187</v>
      </c>
      <c r="L366" s="304"/>
      <c r="M366" s="829">
        <v>0.66900000000000004</v>
      </c>
      <c r="AB366"/>
      <c r="AC366"/>
      <c r="AD366"/>
      <c r="AE366"/>
      <c r="AF366"/>
      <c r="AG366"/>
      <c r="AH366"/>
      <c r="AI366"/>
      <c r="AJ366"/>
      <c r="AK366"/>
      <c r="AL366"/>
      <c r="AM366"/>
      <c r="AN366"/>
      <c r="AO366"/>
      <c r="AP366" s="263"/>
      <c r="AQ366" s="274">
        <f t="shared" si="57"/>
        <v>274</v>
      </c>
      <c r="AR366">
        <f t="shared" si="59"/>
        <v>929.56</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44">
        <v>278</v>
      </c>
      <c r="H367" s="744">
        <v>0.08</v>
      </c>
      <c r="I367" s="744">
        <v>279.52</v>
      </c>
      <c r="J367" s="856">
        <v>0.16800000000000001</v>
      </c>
      <c r="K367" s="303" t="s">
        <v>187</v>
      </c>
      <c r="L367" s="447"/>
      <c r="M367" s="834">
        <v>0.44600000000000001</v>
      </c>
      <c r="AB367"/>
      <c r="AC367"/>
      <c r="AD367"/>
      <c r="AE367"/>
      <c r="AF367"/>
      <c r="AG367"/>
      <c r="AH367"/>
      <c r="AI367"/>
      <c r="AJ367"/>
      <c r="AK367"/>
      <c r="AL367"/>
      <c r="AM367"/>
      <c r="AN367"/>
      <c r="AO367"/>
      <c r="AP367" s="263"/>
      <c r="AQ367" s="274">
        <f t="shared" si="57"/>
        <v>275</v>
      </c>
      <c r="AR367">
        <f t="shared" ref="AR367:AR387" si="60">IF(AL7="tad","tad",AL7)</f>
        <v>930.41</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44">
        <v>93.17</v>
      </c>
      <c r="H368" s="744">
        <v>0.192</v>
      </c>
      <c r="I368" s="744">
        <v>94.1</v>
      </c>
      <c r="J368" s="856">
        <v>0.38200000000000001</v>
      </c>
      <c r="K368" s="303" t="s">
        <v>187</v>
      </c>
      <c r="L368" s="304"/>
      <c r="M368" s="834">
        <v>1.718</v>
      </c>
      <c r="AB368"/>
      <c r="AC368"/>
      <c r="AD368"/>
      <c r="AE368"/>
      <c r="AF368"/>
      <c r="AG368"/>
      <c r="AH368"/>
      <c r="AI368"/>
      <c r="AJ368"/>
      <c r="AK368"/>
      <c r="AL368"/>
      <c r="AM368"/>
      <c r="AN368"/>
      <c r="AO368"/>
      <c r="AP368" s="263"/>
      <c r="AQ368" s="274">
        <f t="shared" si="57"/>
        <v>276</v>
      </c>
      <c r="AR368">
        <f t="shared" si="60"/>
        <v>927.53</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44">
        <v>187.75</v>
      </c>
      <c r="H369" s="744">
        <v>1.9E-2</v>
      </c>
      <c r="I369" s="745">
        <v>189.36</v>
      </c>
      <c r="J369" s="857">
        <v>7.2999999999999995E-2</v>
      </c>
      <c r="K369" s="303" t="s">
        <v>187</v>
      </c>
      <c r="L369" s="304"/>
      <c r="M369" s="834">
        <v>7.0000000000000007E-2</v>
      </c>
      <c r="AB369"/>
      <c r="AC369"/>
      <c r="AD369"/>
      <c r="AE369"/>
      <c r="AF369"/>
      <c r="AG369"/>
      <c r="AH369"/>
      <c r="AI369"/>
      <c r="AJ369"/>
      <c r="AK369"/>
      <c r="AL369"/>
      <c r="AM369"/>
      <c r="AN369"/>
      <c r="AO369"/>
      <c r="AP369" s="263"/>
      <c r="AQ369" s="274">
        <f t="shared" si="57"/>
        <v>277</v>
      </c>
      <c r="AR369">
        <f t="shared" si="60"/>
        <v>922.8</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44">
        <v>168.41</v>
      </c>
      <c r="H370" s="814">
        <v>0.03</v>
      </c>
      <c r="I370" s="745">
        <v>170.28</v>
      </c>
      <c r="J370" s="857">
        <v>7.6999999999999999E-2</v>
      </c>
      <c r="K370" s="303" t="s">
        <v>187</v>
      </c>
      <c r="L370" s="257"/>
      <c r="M370" s="834">
        <v>8.4000000000000005E-2</v>
      </c>
      <c r="AB370"/>
      <c r="AC370"/>
      <c r="AD370"/>
      <c r="AE370"/>
      <c r="AF370"/>
      <c r="AG370"/>
      <c r="AH370"/>
      <c r="AI370"/>
      <c r="AJ370"/>
      <c r="AK370"/>
      <c r="AL370"/>
      <c r="AM370"/>
      <c r="AN370"/>
      <c r="AO370"/>
      <c r="AP370" s="263"/>
      <c r="AQ370" s="274">
        <f t="shared" si="57"/>
        <v>278</v>
      </c>
      <c r="AR370">
        <f t="shared" si="60"/>
        <v>912.31</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44">
        <v>138.08000000000001</v>
      </c>
      <c r="H371" s="744">
        <v>3.5880000000000001</v>
      </c>
      <c r="I371" s="744">
        <v>138.66999999999999</v>
      </c>
      <c r="J371" s="815">
        <v>4.8620000000000001</v>
      </c>
      <c r="K371" s="303" t="s">
        <v>187</v>
      </c>
      <c r="L371" s="304"/>
      <c r="M371" s="834">
        <v>6.6479999999999997</v>
      </c>
      <c r="AB371"/>
      <c r="AC371"/>
      <c r="AD371"/>
      <c r="AE371"/>
      <c r="AF371"/>
      <c r="AG371"/>
      <c r="AH371"/>
      <c r="AI371"/>
      <c r="AJ371"/>
      <c r="AK371"/>
      <c r="AL371"/>
      <c r="AM371"/>
      <c r="AN371"/>
      <c r="AO371"/>
      <c r="AP371" s="263"/>
      <c r="AQ371" s="274">
        <f t="shared" si="57"/>
        <v>279</v>
      </c>
      <c r="AR371">
        <f t="shared" si="60"/>
        <v>904.99</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44">
        <v>236.38</v>
      </c>
      <c r="H372" s="814">
        <v>0.94199999999999995</v>
      </c>
      <c r="I372" s="744">
        <v>238.14</v>
      </c>
      <c r="J372" s="815">
        <v>1.9379999999999999</v>
      </c>
      <c r="K372" s="303" t="s">
        <v>187</v>
      </c>
      <c r="L372" s="304"/>
      <c r="M372" s="834">
        <v>2.234</v>
      </c>
      <c r="AB372"/>
      <c r="AC372"/>
      <c r="AD372"/>
      <c r="AE372"/>
      <c r="AF372"/>
      <c r="AG372"/>
      <c r="AH372"/>
      <c r="AI372"/>
      <c r="AJ372"/>
      <c r="AK372"/>
      <c r="AL372"/>
      <c r="AM372"/>
      <c r="AN372"/>
      <c r="AO372"/>
      <c r="AP372" s="263"/>
      <c r="AQ372" s="274">
        <f t="shared" si="57"/>
        <v>280</v>
      </c>
      <c r="AR372">
        <f t="shared" si="60"/>
        <v>1006.99</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44">
        <v>117.9</v>
      </c>
      <c r="H373" s="744">
        <v>1.456</v>
      </c>
      <c r="I373" s="744">
        <v>117.96</v>
      </c>
      <c r="J373" s="856">
        <v>1.552</v>
      </c>
      <c r="K373" s="303" t="s">
        <v>187</v>
      </c>
      <c r="L373" s="304"/>
      <c r="M373" s="834">
        <v>3.3319999999999999</v>
      </c>
      <c r="AB373"/>
      <c r="AC373"/>
      <c r="AD373"/>
      <c r="AE373"/>
      <c r="AF373"/>
      <c r="AG373"/>
      <c r="AH373"/>
      <c r="AI373"/>
      <c r="AJ373"/>
      <c r="AK373"/>
      <c r="AL373"/>
      <c r="AM373"/>
      <c r="AN373"/>
      <c r="AO373"/>
      <c r="AP373" s="263"/>
      <c r="AQ373" s="274">
        <f t="shared" si="57"/>
        <v>281</v>
      </c>
      <c r="AR373">
        <f t="shared" si="60"/>
        <v>886.38</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44">
        <v>109.27</v>
      </c>
      <c r="H374" s="744">
        <v>1.1399999999999999</v>
      </c>
      <c r="I374" s="744">
        <v>108.2</v>
      </c>
      <c r="J374" s="856">
        <v>0.58799999999999997</v>
      </c>
      <c r="K374" s="303" t="s">
        <v>187</v>
      </c>
      <c r="L374" s="296"/>
      <c r="M374" s="834">
        <v>1.343</v>
      </c>
      <c r="AB374"/>
      <c r="AC374"/>
      <c r="AD374"/>
      <c r="AE374"/>
      <c r="AF374"/>
      <c r="AG374"/>
      <c r="AH374"/>
      <c r="AI374"/>
      <c r="AJ374"/>
      <c r="AK374"/>
      <c r="AL374"/>
      <c r="AM374"/>
      <c r="AN374"/>
      <c r="AO374"/>
      <c r="AP374" s="263"/>
      <c r="AQ374" s="274">
        <f t="shared" si="57"/>
        <v>282</v>
      </c>
      <c r="AR374">
        <f t="shared" si="60"/>
        <v>874.88</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44">
        <v>60.96</v>
      </c>
      <c r="H375" s="814">
        <v>14.58</v>
      </c>
      <c r="I375" s="744">
        <v>65.31</v>
      </c>
      <c r="J375" s="815">
        <v>21.7</v>
      </c>
      <c r="K375" s="303" t="s">
        <v>64</v>
      </c>
      <c r="M375" s="834">
        <v>31.99</v>
      </c>
      <c r="AB375"/>
      <c r="AC375"/>
      <c r="AD375"/>
      <c r="AE375"/>
      <c r="AF375"/>
      <c r="AG375"/>
      <c r="AH375"/>
      <c r="AI375"/>
      <c r="AJ375"/>
      <c r="AK375"/>
      <c r="AL375"/>
      <c r="AM375"/>
      <c r="AN375"/>
      <c r="AO375"/>
      <c r="AP375" s="263"/>
      <c r="AQ375" s="274">
        <f t="shared" si="57"/>
        <v>283</v>
      </c>
      <c r="AR375">
        <f t="shared" si="60"/>
        <v>861.68</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44">
        <v>170.09</v>
      </c>
      <c r="H376" s="814">
        <v>271.23</v>
      </c>
      <c r="I376" s="744">
        <v>172.23</v>
      </c>
      <c r="J376" s="815">
        <v>264.18</v>
      </c>
      <c r="K376" s="303" t="s">
        <v>340</v>
      </c>
      <c r="M376" s="834">
        <v>261.27999999999997</v>
      </c>
      <c r="AB376"/>
      <c r="AC376"/>
      <c r="AD376"/>
      <c r="AE376"/>
      <c r="AF376"/>
      <c r="AG376"/>
      <c r="AH376"/>
      <c r="AI376"/>
      <c r="AJ376"/>
      <c r="AK376"/>
      <c r="AL376"/>
      <c r="AM376"/>
      <c r="AN376"/>
      <c r="AO376"/>
      <c r="AP376" s="263"/>
      <c r="AQ376" s="274">
        <f t="shared" si="57"/>
        <v>284</v>
      </c>
      <c r="AR376">
        <f t="shared" si="60"/>
        <v>851.28</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44">
        <v>229.5</v>
      </c>
      <c r="H377" s="814">
        <v>5.1623630299999999</v>
      </c>
      <c r="I377" s="744">
        <v>230.27</v>
      </c>
      <c r="J377" s="889">
        <v>9.3461075999999998</v>
      </c>
      <c r="K377" s="303" t="s">
        <v>188</v>
      </c>
      <c r="M377" s="890">
        <v>3.5619999999999998</v>
      </c>
      <c r="AB377" s="271"/>
      <c r="AC377" s="271"/>
      <c r="AD377" s="271"/>
      <c r="AE377" s="271"/>
      <c r="AF377" s="271"/>
      <c r="AG377" s="271"/>
      <c r="AH377" s="271"/>
      <c r="AI377" s="271"/>
      <c r="AJ377" s="271"/>
      <c r="AK377" s="271"/>
      <c r="AL377" s="271"/>
      <c r="AM377" s="271"/>
      <c r="AN377" s="271"/>
      <c r="AO377" s="271"/>
      <c r="AP377" s="878"/>
      <c r="AQ377" s="891">
        <f t="shared" si="57"/>
        <v>285</v>
      </c>
      <c r="AR377" s="271">
        <f t="shared" si="60"/>
        <v>838.12</v>
      </c>
      <c r="AS377" s="271">
        <f t="shared" si="58"/>
        <v>0</v>
      </c>
      <c r="AT377" s="271"/>
      <c r="AU377" s="271"/>
      <c r="AV377" s="271"/>
      <c r="AW377" s="271"/>
      <c r="AX377" s="271"/>
      <c r="AY377" s="271"/>
      <c r="AZ377" s="271"/>
      <c r="BA377" s="271"/>
      <c r="BB377" s="271"/>
      <c r="BC377" s="271"/>
      <c r="BD377" s="271"/>
      <c r="BE377" s="271"/>
    </row>
    <row r="378" spans="2:57" ht="27" customHeight="1" x14ac:dyDescent="0.2">
      <c r="B378" s="288">
        <f t="shared" si="56"/>
        <v>43</v>
      </c>
      <c r="C378" s="287" t="s">
        <v>210</v>
      </c>
      <c r="D378" s="287" t="s">
        <v>76</v>
      </c>
      <c r="E378" s="307">
        <v>149.30000000000001</v>
      </c>
      <c r="F378" s="324">
        <v>17.670000000000002</v>
      </c>
      <c r="G378" s="860">
        <v>141.19999999999999</v>
      </c>
      <c r="H378" s="861">
        <v>8.8000000000000007</v>
      </c>
      <c r="I378" s="860">
        <v>145.63</v>
      </c>
      <c r="J378" s="862">
        <v>12.31</v>
      </c>
      <c r="K378" s="366" t="s">
        <v>213</v>
      </c>
      <c r="M378" s="834">
        <v>11.34</v>
      </c>
      <c r="AB378"/>
      <c r="AC378"/>
      <c r="AD378"/>
      <c r="AE378"/>
      <c r="AF378"/>
      <c r="AG378"/>
      <c r="AH378"/>
      <c r="AI378"/>
      <c r="AJ378"/>
      <c r="AK378"/>
      <c r="AL378"/>
      <c r="AM378"/>
      <c r="AN378"/>
      <c r="AO378"/>
      <c r="AP378" s="263"/>
      <c r="AQ378" s="274">
        <f t="shared" si="57"/>
        <v>286</v>
      </c>
      <c r="AR378">
        <f t="shared" si="60"/>
        <v>830.36</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49">
        <v>36.85</v>
      </c>
      <c r="H379" s="846">
        <v>0.19600000000000001</v>
      </c>
      <c r="I379" s="852">
        <v>39</v>
      </c>
      <c r="J379" s="873">
        <v>0.254</v>
      </c>
      <c r="K379" s="366"/>
      <c r="M379" s="834">
        <v>0.17499999999999999</v>
      </c>
      <c r="AB379"/>
      <c r="AC379"/>
      <c r="AD379"/>
      <c r="AE379"/>
      <c r="AF379"/>
      <c r="AG379"/>
      <c r="AH379"/>
      <c r="AI379"/>
      <c r="AJ379"/>
      <c r="AK379"/>
      <c r="AL379"/>
      <c r="AM379"/>
      <c r="AN379"/>
      <c r="AO379"/>
      <c r="AP379" s="263"/>
      <c r="AQ379" s="274">
        <f t="shared" si="57"/>
        <v>287</v>
      </c>
      <c r="AR379">
        <f t="shared" si="60"/>
        <v>821.15</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64">
        <v>67.94</v>
      </c>
      <c r="H380" s="865">
        <v>0.27800000000000002</v>
      </c>
      <c r="I380" s="847">
        <v>69.599999999999994</v>
      </c>
      <c r="J380" s="872">
        <v>0.45300000000000001</v>
      </c>
      <c r="K380" s="366"/>
      <c r="M380" s="834">
        <v>0.504</v>
      </c>
      <c r="AB380"/>
      <c r="AC380"/>
      <c r="AD380"/>
      <c r="AE380"/>
      <c r="AF380"/>
      <c r="AG380"/>
      <c r="AH380"/>
      <c r="AI380"/>
      <c r="AJ380"/>
      <c r="AK380"/>
      <c r="AL380"/>
      <c r="AM380"/>
      <c r="AN380"/>
      <c r="AO380"/>
      <c r="AP380" s="263"/>
      <c r="AQ380" s="274">
        <f t="shared" si="57"/>
        <v>288</v>
      </c>
      <c r="AR380">
        <f t="shared" si="60"/>
        <v>812.41</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765.86736303000009</v>
      </c>
      <c r="I381" s="310"/>
      <c r="J381" s="273">
        <f>SUM(J336:J380)</f>
        <v>812.40910759999997</v>
      </c>
      <c r="K381" s="444"/>
      <c r="M381" s="187"/>
      <c r="AB381"/>
      <c r="AC381"/>
      <c r="AD381"/>
      <c r="AE381"/>
      <c r="AF381"/>
      <c r="AG381"/>
      <c r="AH381"/>
      <c r="AI381"/>
      <c r="AJ381"/>
      <c r="AK381"/>
      <c r="AL381"/>
      <c r="AM381"/>
      <c r="AN381"/>
      <c r="AO381"/>
      <c r="AP381" s="263"/>
      <c r="AQ381" s="274">
        <f t="shared" si="57"/>
        <v>289</v>
      </c>
      <c r="AR381">
        <f t="shared" si="60"/>
        <v>803.77</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1.0607699803081656</v>
      </c>
      <c r="K382" s="292"/>
      <c r="M382" s="187"/>
      <c r="AB382"/>
      <c r="AC382"/>
      <c r="AD382"/>
      <c r="AE382"/>
      <c r="AF382"/>
      <c r="AG382"/>
      <c r="AH382"/>
      <c r="AI382"/>
      <c r="AJ382"/>
      <c r="AK382"/>
      <c r="AL382"/>
      <c r="AM382"/>
      <c r="AN382"/>
      <c r="AO382"/>
      <c r="AP382" s="263"/>
      <c r="AQ382" s="274">
        <f t="shared" si="57"/>
        <v>290</v>
      </c>
      <c r="AR382">
        <f t="shared" si="60"/>
        <v>796.62</v>
      </c>
      <c r="AS382">
        <f t="shared" si="58"/>
        <v>0</v>
      </c>
      <c r="AT382"/>
      <c r="AU382"/>
      <c r="AV382"/>
      <c r="AW382"/>
      <c r="AX382"/>
      <c r="AY382"/>
      <c r="AZ382"/>
      <c r="BA382"/>
      <c r="BB382"/>
      <c r="BC382"/>
      <c r="BD382"/>
      <c r="BE382"/>
    </row>
    <row r="383" spans="2:57" ht="27" customHeight="1" thickBot="1" x14ac:dyDescent="0.25">
      <c r="B383" s="293"/>
      <c r="C383" s="484" t="s">
        <v>214</v>
      </c>
      <c r="D383" s="294"/>
      <c r="E383" s="326">
        <v>1736.79</v>
      </c>
      <c r="F383" s="315">
        <v>1</v>
      </c>
      <c r="G383" s="316" t="s">
        <v>68</v>
      </c>
      <c r="H383" s="315">
        <f>+H381/F381*100%</f>
        <v>0.41774007761791943</v>
      </c>
      <c r="I383" s="317"/>
      <c r="J383" s="259">
        <f>+J381/F381</f>
        <v>0.44312613390869204</v>
      </c>
      <c r="K383" s="445"/>
      <c r="M383" s="187"/>
      <c r="AB383"/>
      <c r="AC383"/>
      <c r="AD383"/>
      <c r="AE383"/>
      <c r="AF383"/>
      <c r="AG383"/>
      <c r="AH383"/>
      <c r="AI383"/>
      <c r="AJ383"/>
      <c r="AK383"/>
      <c r="AL383"/>
      <c r="AM383"/>
      <c r="AN383"/>
      <c r="AO383"/>
      <c r="AP383" s="263"/>
      <c r="AQ383" s="274">
        <f t="shared" si="57"/>
        <v>291</v>
      </c>
      <c r="AR383">
        <f t="shared" si="60"/>
        <v>789.09</v>
      </c>
      <c r="AS383">
        <f t="shared" si="58"/>
        <v>0</v>
      </c>
      <c r="AT383"/>
      <c r="AU383"/>
      <c r="AV383"/>
      <c r="AW383"/>
      <c r="AX383"/>
      <c r="AY383"/>
      <c r="AZ383"/>
      <c r="BA383"/>
      <c r="BB383"/>
      <c r="BC383"/>
      <c r="BD383"/>
      <c r="BE383"/>
    </row>
    <row r="384" spans="2:57" ht="27" customHeight="1" thickBot="1" x14ac:dyDescent="0.25">
      <c r="B384" s="293"/>
      <c r="C384" s="484" t="s">
        <v>215</v>
      </c>
      <c r="D384" s="294"/>
      <c r="E384" s="325">
        <f>F381-E383</f>
        <v>96.568598000000293</v>
      </c>
      <c r="F384" s="480"/>
      <c r="G384" s="481"/>
      <c r="H384" s="480"/>
      <c r="I384" s="482"/>
      <c r="J384" s="480"/>
      <c r="K384" s="483"/>
      <c r="M384" s="187"/>
      <c r="AB384"/>
      <c r="AC384"/>
      <c r="AD384"/>
      <c r="AE384"/>
      <c r="AF384"/>
      <c r="AG384"/>
      <c r="AH384"/>
      <c r="AI384"/>
      <c r="AJ384"/>
      <c r="AK384"/>
      <c r="AL384"/>
      <c r="AM384"/>
      <c r="AN384"/>
      <c r="AO384"/>
      <c r="AP384" s="263"/>
      <c r="AQ384" s="274">
        <f t="shared" si="57"/>
        <v>292</v>
      </c>
      <c r="AR384">
        <f t="shared" si="60"/>
        <v>785.08</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783.03</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782.74</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N3:Z3"/>
    <mergeCell ref="N2:Z2"/>
    <mergeCell ref="N5:N6"/>
    <mergeCell ref="O5:O6"/>
    <mergeCell ref="Z5:Z6"/>
    <mergeCell ref="Y5:Y6"/>
    <mergeCell ref="R5:R6"/>
    <mergeCell ref="Q5:Q6"/>
    <mergeCell ref="P5:P6"/>
    <mergeCell ref="X5:X6"/>
    <mergeCell ref="U5:U6"/>
    <mergeCell ref="T5:T6"/>
    <mergeCell ref="S5:S6"/>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B4:L4"/>
    <mergeCell ref="B2:L3"/>
    <mergeCell ref="L7:L9"/>
    <mergeCell ref="B7:B9"/>
    <mergeCell ref="D7:D9"/>
    <mergeCell ref="C7:C9"/>
    <mergeCell ref="E7:F7"/>
    <mergeCell ref="G7:H7"/>
    <mergeCell ref="K7:K9"/>
    <mergeCell ref="I7:J7"/>
    <mergeCell ref="AB50:AO50"/>
    <mergeCell ref="AB5:AB6"/>
    <mergeCell ref="AB46:AO46"/>
    <mergeCell ref="W5:W6"/>
    <mergeCell ref="V5:V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topLeftCell="A10" zoomScale="70" zoomScaleNormal="70" workbookViewId="0">
      <selection activeCell="L38" sqref="L38"/>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51" t="s">
        <v>327</v>
      </c>
      <c r="C1" s="952"/>
      <c r="D1" s="952"/>
      <c r="E1" s="952"/>
      <c r="F1" s="952"/>
      <c r="G1" s="952"/>
      <c r="H1" s="952"/>
      <c r="I1" s="952"/>
      <c r="J1" s="952"/>
      <c r="K1" s="952"/>
      <c r="L1" s="952"/>
      <c r="M1" s="952"/>
      <c r="N1" s="952"/>
      <c r="O1" s="952"/>
      <c r="P1" s="952"/>
      <c r="Q1" s="952"/>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53" t="s">
        <v>350</v>
      </c>
      <c r="C2" s="954"/>
      <c r="D2" s="954"/>
      <c r="E2" s="954"/>
      <c r="F2" s="954"/>
      <c r="G2" s="954"/>
      <c r="H2" s="954"/>
      <c r="I2" s="954"/>
      <c r="J2" s="954"/>
      <c r="K2" s="954"/>
      <c r="L2" s="954"/>
      <c r="M2" s="954"/>
      <c r="N2" s="954"/>
      <c r="O2" s="954"/>
      <c r="P2" s="954"/>
      <c r="Q2" s="954"/>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Di Atas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Atas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Sesuai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Di Atas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Plumbon</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Sesuai Rencana</v>
      </c>
      <c r="U8" s="230" t="s">
        <v>65</v>
      </c>
      <c r="W8" s="230" t="s">
        <v>166</v>
      </c>
      <c r="X8" s="230" t="str">
        <f t="array" ref="X8">IF(ISERROR(INDEX($T$1:$U$10,SMALL(IF($T$1:$T$10=$X$7,ROW($T$1:$T$10)),ROW(1:1)),2)),"",INDEX($T$1:$U$10,SMALL(IF($T$1:$T$10=$X$7,ROW($T$1:$T$10)),ROW(1:1)),2))</f>
        <v>Rawapening</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Cacaban</v>
      </c>
      <c r="AA11" s="319">
        <v>10</v>
      </c>
      <c r="AB11" s="230" t="str">
        <f>IF('RINCI 2'!J18=0,"Kosong",IF('RINCI 2'!J18&lt;85,"Di Bawah Rencana",IF('RINCI 2'!J18&gt;100,"Di Atas Rencana","Sesuai Rencana")))</f>
        <v>Di Atas Rencana</v>
      </c>
      <c r="AC11" s="230" t="s">
        <v>42</v>
      </c>
      <c r="AE11" s="230" t="s">
        <v>166</v>
      </c>
      <c r="AF11" s="230" t="str">
        <f t="array" ref="AF11">IF(ISERROR(INDEX($AB$1:$AC$33,SMALL(IF($AB$1:$AB$33=$AF$10,ROW($AB$1:$AB$33)),ROW(1:1)),2)),"",INDEX($AB$1:$AC$33,SMALL(IF($AB$1:$AB$33=$AF$10,ROW($AB$1:$AB$33)),ROW(1:1)),2))</f>
        <v>Penjalin</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Kosong</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Bawah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Bawah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83">
        <f>B25+B26</f>
        <v>1</v>
      </c>
      <c r="C24" s="684" t="s">
        <v>271</v>
      </c>
      <c r="D24" s="684"/>
      <c r="E24" s="685"/>
      <c r="F24" s="686">
        <f>'RINCI 2'!J48+'RINCI 1'!J27</f>
        <v>6</v>
      </c>
      <c r="G24" s="684" t="s">
        <v>274</v>
      </c>
      <c r="H24" s="684"/>
      <c r="I24" s="685"/>
      <c r="J24" s="686">
        <f>'RINCI 2'!J47+'RINCI 1'!J26</f>
        <v>2</v>
      </c>
      <c r="K24" s="684" t="s">
        <v>275</v>
      </c>
      <c r="L24" s="685"/>
      <c r="M24" s="685"/>
      <c r="N24" s="686">
        <f>'RINCI 1'!J25+'RINCI 2'!J46</f>
        <v>36</v>
      </c>
      <c r="O24" s="684" t="s">
        <v>276</v>
      </c>
      <c r="P24" s="684"/>
      <c r="Q24" s="685"/>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83">
        <f>'RINCI 1'!J28</f>
        <v>0</v>
      </c>
      <c r="C25" s="684" t="s">
        <v>272</v>
      </c>
      <c r="D25" s="684"/>
      <c r="E25" s="685"/>
      <c r="F25" s="686">
        <f>'RINCI 1'!J27</f>
        <v>1</v>
      </c>
      <c r="G25" s="684" t="s">
        <v>272</v>
      </c>
      <c r="H25" s="684"/>
      <c r="I25" s="685"/>
      <c r="J25" s="686">
        <f>'RINCI 1'!J26</f>
        <v>2</v>
      </c>
      <c r="K25" s="684" t="s">
        <v>272</v>
      </c>
      <c r="L25" s="685"/>
      <c r="M25" s="685"/>
      <c r="N25" s="686">
        <f>'RINCI 1'!J25</f>
        <v>9</v>
      </c>
      <c r="O25" s="684" t="s">
        <v>272</v>
      </c>
      <c r="P25" s="684"/>
      <c r="Q25" s="685"/>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Bawah Rencana</v>
      </c>
      <c r="AC25" s="230" t="s">
        <v>57</v>
      </c>
      <c r="AI25" s="277"/>
    </row>
    <row r="26" spans="2:35" x14ac:dyDescent="0.2">
      <c r="B26" s="683">
        <v>1</v>
      </c>
      <c r="C26" s="684" t="s">
        <v>273</v>
      </c>
      <c r="D26" s="684"/>
      <c r="E26" s="685"/>
      <c r="F26" s="683">
        <f>'RINCI 2'!J48</f>
        <v>5</v>
      </c>
      <c r="G26" s="684" t="s">
        <v>273</v>
      </c>
      <c r="H26" s="684"/>
      <c r="I26" s="685"/>
      <c r="J26" s="683">
        <f>'RINCI 2'!J47</f>
        <v>0</v>
      </c>
      <c r="K26" s="684" t="s">
        <v>273</v>
      </c>
      <c r="L26" s="685"/>
      <c r="M26" s="685"/>
      <c r="N26" s="686">
        <f>'RINCI 2'!J46</f>
        <v>27</v>
      </c>
      <c r="O26" s="684" t="s">
        <v>273</v>
      </c>
      <c r="P26" s="684"/>
      <c r="Q26" s="685"/>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Atas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55" t="s">
        <v>171</v>
      </c>
      <c r="C29" s="956"/>
      <c r="D29" s="956"/>
      <c r="E29" s="956"/>
      <c r="F29" s="956" t="s">
        <v>172</v>
      </c>
      <c r="G29" s="956"/>
      <c r="H29" s="956"/>
      <c r="I29" s="956"/>
      <c r="J29" s="956" t="s">
        <v>173</v>
      </c>
      <c r="K29" s="956"/>
      <c r="L29" s="956"/>
      <c r="M29" s="956"/>
      <c r="N29" s="956" t="s">
        <v>190</v>
      </c>
      <c r="O29" s="956"/>
      <c r="P29" s="956"/>
      <c r="Q29" s="956"/>
      <c r="R29" s="280"/>
      <c r="AA29" s="319">
        <v>28</v>
      </c>
      <c r="AB29" s="230" t="str">
        <f>IF('RINCI 2'!J37=0,"Kosong",IF('RINCI 2'!J37&lt;85,"Di Bawah Rencana",IF('RINCI 2'!J37&gt;100,"Di Atas Rencana","Sesuai Rencana")))</f>
        <v>Di Atas Rencana</v>
      </c>
      <c r="AC29" s="230" t="s">
        <v>61</v>
      </c>
      <c r="AI29" s="277"/>
    </row>
    <row r="30" spans="2:35" x14ac:dyDescent="0.2">
      <c r="B30" s="955" t="s">
        <v>174</v>
      </c>
      <c r="C30" s="956"/>
      <c r="D30" s="956" t="s">
        <v>175</v>
      </c>
      <c r="E30" s="956"/>
      <c r="F30" s="956" t="s">
        <v>174</v>
      </c>
      <c r="G30" s="956"/>
      <c r="H30" s="956" t="s">
        <v>175</v>
      </c>
      <c r="I30" s="956"/>
      <c r="J30" s="956" t="s">
        <v>174</v>
      </c>
      <c r="K30" s="956"/>
      <c r="L30" s="956" t="s">
        <v>175</v>
      </c>
      <c r="M30" s="956"/>
      <c r="N30" s="956" t="s">
        <v>174</v>
      </c>
      <c r="O30" s="956"/>
      <c r="P30" s="956" t="s">
        <v>175</v>
      </c>
      <c r="Q30" s="956"/>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Krisak</v>
      </c>
      <c r="F31" s="230" t="str">
        <f t="array" ref="F31">IF(ISERROR(INDEX($T$1:$U$10,SMALL(IF($T$1:$T$10=$X$4,ROW($T$1:$T$10)),ROW(1:1)),2)),"",INDEX($T$1:$U$10,SMALL(IF($T$1:$T$10=$X$4,ROW($T$1:$T$10)),ROW(1:1)),2))</f>
        <v>Malahayu</v>
      </c>
      <c r="H31" s="230" t="str">
        <f t="array" ref="H31">IF(ISERROR(INDEX($AB$1:$AC$33,SMALL(IF($AB$1:$AB$33=$AF$4,ROW($AB$1:$AB$33)),ROW(1:1)),2)),"",INDEX($AB$1:$AC$33,SMALL(IF($AB$1:$AB$33=$AF$4,ROW($AB$1:$AB$33)),ROW(1:1)),2))</f>
        <v>Plumbon</v>
      </c>
      <c r="J31" s="230" t="str">
        <f t="array" ref="J31">IF(ISERROR(INDEX($T$1:$U$10,SMALL(IF($T$1:$T$10=$X$7,ROW($T$1:$T$10)),ROW(1:1)),2)),"",INDEX($T$1:$U$10,SMALL(IF($T$1:$T$10=$X$7,ROW($T$1:$T$10)),ROW(1:1)),2))</f>
        <v>Rawapening</v>
      </c>
      <c r="L31" s="230" t="str">
        <f t="array" ref="L31">IF(ISERROR(INDEX($AB$1:$AC$33,SMALL(IF($AB$1:$AB$33=$AF$7,ROW($AB$1:$AB$33)),ROW(1:1)),2)),"",INDEX($AB$1:$AC$33,SMALL(IF($AB$1:$AB$33=$AF$7,ROW($AB$1:$AB$33)),ROW(1:1)),2))</f>
        <v/>
      </c>
      <c r="N31" s="230" t="str">
        <f t="array" ref="N31">IF(ISERROR(INDEX($T$1:$U$10,SMALL(IF($T$1:$T$10=$X$10,ROW($T$1:$T$10)),ROW(1:1)),2)),"",INDEX($T$1:$U$10,SMALL(IF($T$1:$T$10=$X$10,ROW($T$1:$T$10)),ROW(1:1)),2))</f>
        <v>Cacaban</v>
      </c>
      <c r="P31" s="230" t="str">
        <f t="array" ref="P31">IF(ISERROR(INDEX($AB$1:$AC$33,SMALL(IF($AB$1:$AB$33=$AF$10,ROW($AB$1:$AB$33)),ROW(1:1)),2)),"",INDEX($AB$1:$AC$33,SMALL(IF($AB$1:$AB$33=$AF$10,ROW($AB$1:$AB$33)),ROW(1:1)),2))</f>
        <v>Penjalin</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
      </c>
      <c r="H32" s="230" t="str">
        <f t="array" ref="H32">IF(ISERROR(INDEX($AB$1:$AC$33,SMALL(IF($AB$1:$AB$33=$AF$4,ROW($AB$1:$AB$33)),ROW(2:2)),2)),"",INDEX($AB$1:$AC$33,SMALL(IF($AB$1:$AB$33=$AF$4,ROW($AB$1:$AB$33)),ROW(2:2)),2))</f>
        <v>Gebyar</v>
      </c>
      <c r="J32" s="230" t="str">
        <f t="array" ref="J32">IF(ISERROR(INDEX($T$1:$U$10,SMALL(IF($T$1:$T$10=$X$7,ROW($T$1:$T$10)),ROW(2:2)),2)),"",INDEX($T$1:$U$10,SMALL(IF($T$1:$T$10=$X$7,ROW($T$1:$T$10)),ROW(2:2)),2))</f>
        <v>Wadaslintang</v>
      </c>
      <c r="L32" s="230" t="str">
        <f t="array" ref="L32">IF(ISERROR(INDEX($AB$1:$AC$33,SMALL(IF($AB$1:$AB$33=$AF$7,ROW($AB$1:$AB$33)),ROW(2:2)),2)),"",INDEX($AB$1:$AC$33,SMALL(IF($AB$1:$AB$33=$AF$7,ROW($AB$1:$AB$33)),ROW(2:2)),2))</f>
        <v/>
      </c>
      <c r="N32" s="230" t="str">
        <f t="array" ref="N32">IF(ISERROR(INDEX($T$1:$U$10,SMALL(IF($T$1:$T$10=$X$10,ROW($T$1:$T$10)),ROW(2:2)),2)),"",INDEX($T$1:$U$10,SMALL(IF($T$1:$T$10=$X$10,ROW($T$1:$T$10)),ROW(2:2)),2))</f>
        <v>Kedungombo</v>
      </c>
      <c r="P32" s="230" t="str">
        <f t="array" ref="P32">IF(ISERROR(INDEX($AB$1:$AC$33,SMALL(IF($AB$1:$AB$33=$AF$10,ROW($AB$1:$AB$33)),ROW(2:2)),2)),"",INDEX($AB$1:$AC$33,SMALL(IF($AB$1:$AB$33=$AF$10,ROW($AB$1:$AB$33)),ROW(2:2)),2))</f>
        <v>Gembong</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Ketro</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Wonogiri</v>
      </c>
      <c r="P33" s="230" t="str">
        <f t="array" ref="P33">IF(ISERROR(INDEX($AB$1:$AC$33,SMALL(IF($AB$1:$AB$33=$AF$10,ROW($AB$1:$AB$33)),ROW(3:3)),2)),"",INDEX($AB$1:$AC$33,SMALL(IF($AB$1:$AB$33=$AF$10,ROW($AB$1:$AB$33)),ROW(3:3)),2))</f>
        <v>Gunungrowo</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Mulur</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Sempor</v>
      </c>
      <c r="P34" s="230" t="str">
        <f t="array" ref="P34">IF(ISERROR(INDEX($AB$1:$AC$33,SMALL(IF($AB$1:$AB$33=$AF$10,ROW($AB$1:$AB$33)),ROW(4:4)),2)),"",INDEX($AB$1:$AC$33,SMALL(IF($AB$1:$AB$33=$AF$10,ROW($AB$1:$AB$33)),ROW(4:4)),2))</f>
        <v>Tempuran</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
        <v>330</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Greneng</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Lodanwetan</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Banyukuwung</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Nglangon</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Simo</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Butak</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Sanggeh</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Songputri</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Parangjoho</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Kedunguling</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Nawangan</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Ngancar</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Lalung</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Delingan</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Kembangan</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Botok</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Blimbing</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Brambang</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Cengklik</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Klego</v>
      </c>
      <c r="Q54" s="277"/>
    </row>
    <row r="55" spans="2:35" x14ac:dyDescent="0.2">
      <c r="B55" s="835"/>
      <c r="P55" s="230" t="str">
        <f t="array" ref="P55">IF(ISERROR(INDEX($AB$1:$AC$33,SMALL(IF($AB$1:$AB$33=$AF$10,ROW($AB$1:$AB$33)),ROW(25:25)),2)),"",INDEX($AB$1:$AC$33,SMALL(IF($AB$1:$AB$33=$AF$10,ROW($AB$1:$AB$33)),ROW(25:25)),2))</f>
        <v>Jombor</v>
      </c>
      <c r="Q55" s="836"/>
    </row>
    <row r="56" spans="2:35" x14ac:dyDescent="0.2">
      <c r="B56" s="835"/>
      <c r="P56" s="230" t="str">
        <f t="array" ref="P56">IF(ISERROR(INDEX($AB$1:$AC$33,SMALL(IF($AB$1:$AB$33=$AF$10,ROW($AB$1:$AB$33)),ROW(26:26)),2)),"",INDEX($AB$1:$AC$33,SMALL(IF($AB$1:$AB$33=$AF$10,ROW($AB$1:$AB$33)),ROW(26:26)),2))</f>
        <v>Grawan</v>
      </c>
      <c r="Q56" s="836"/>
    </row>
    <row r="57" spans="2:35" x14ac:dyDescent="0.2">
      <c r="B57" s="835"/>
      <c r="P57" s="230" t="str">
        <f t="array" ref="P57">IF(ISERROR(INDEX($AB$1:$AC$33,SMALL(IF($AB$1:$AB$33=$AF$10,ROW($AB$1:$AB$33)),ROW(27:27)),2)),"",INDEX($AB$1:$AC$33,SMALL(IF($AB$1:$AB$33=$AF$10,ROW($AB$1:$AB$33)),ROW(27:27)),2))</f>
        <v>Panohan</v>
      </c>
      <c r="Q57" s="836"/>
    </row>
    <row r="58" spans="2:35" x14ac:dyDescent="0.2">
      <c r="B58" s="835"/>
      <c r="P58" s="230" t="str">
        <f t="array" ref="P58">IF(ISERROR(INDEX($AB$1:$AC$33,SMALL(IF($AB$1:$AB$33=$AF$10,ROW($AB$1:$AB$33)),ROW(28:28)),2)),"",INDEX($AB$1:$AC$33,SMALL(IF($AB$1:$AB$33=$AF$10,ROW($AB$1:$AB$33)),ROW(28:28)),2))</f>
        <v/>
      </c>
      <c r="Q58" s="836"/>
    </row>
    <row r="59" spans="2:35" x14ac:dyDescent="0.2">
      <c r="B59" s="835"/>
      <c r="Q59" s="836"/>
    </row>
    <row r="60" spans="2:35" x14ac:dyDescent="0.2">
      <c r="B60" s="835"/>
      <c r="P60" s="230" t="str">
        <f t="array" ref="P60">IF(ISERROR(INDEX($AB$1:$AC$33,SMALL(IF($AB$1:$AB$33=$AF$10,ROW($AB$1:$AB$33)),ROW(30:30)),2)),"",INDEX($AB$1:$AC$33,SMALL(IF($AB$1:$AB$33=$AF$10,ROW($AB$1:$AB$33)),ROW(30:30)),2))</f>
        <v/>
      </c>
      <c r="Q60" s="836"/>
    </row>
    <row r="61" spans="2:35" x14ac:dyDescent="0.2">
      <c r="B61" s="835"/>
      <c r="Q61" s="836"/>
    </row>
    <row r="62" spans="2:35" ht="13.5" thickBot="1" x14ac:dyDescent="0.25">
      <c r="B62" s="753"/>
      <c r="C62" s="754"/>
      <c r="D62" s="754" t="str">
        <f t="array" ref="D62">IF(ISERROR(INDEX($AB$1:$AC$33,SMALL(IF($AB$1:$AB$33=$AF$1,ROW($AB$1:$AB$33)),ROW(28:28)),2)),"",INDEX($AB$1:$AC$33,SMALL(IF($AB$1:$AB$33=$AF$1,ROW($AB$1:$AB$33)),ROW(28:28)),2))</f>
        <v/>
      </c>
      <c r="E62" s="754"/>
      <c r="F62" s="754"/>
      <c r="G62" s="754"/>
      <c r="H62" s="754" t="str">
        <f t="array" ref="H62">IF(ISERROR(INDEX($AB$1:$AC$33,SMALL(IF($AB$1:$AB$33=$AF$4,ROW($AB$1:$AB$33)),ROW(29:29)),2)),"",INDEX($AB$1:$AC$33,SMALL(IF($AB$1:$AB$33=$AF$4,ROW($AB$1:$AB$33)),ROW(29:29)),2))</f>
        <v/>
      </c>
      <c r="I62" s="754"/>
      <c r="J62" s="754" t="str">
        <f t="array" ref="J62">IF(ISERROR(INDEX($T$1:$U$10,SMALL(IF($T$1:$T$10=$X$7,ROW($T$1:$T$10)),ROW(28:28)),2)),"",INDEX($T$1:$U$10,SMALL(IF($T$1:$T$10=$X$7,ROW($T$1:$T$10)),ROW(28:28)),2))</f>
        <v/>
      </c>
      <c r="K62" s="754"/>
      <c r="L62" s="754" t="str">
        <f t="array" ref="L62">IF(ISERROR(INDEX($AB$1:$AC$33,SMALL(IF($AB$1:$AB$33=$AF$7,ROW($AB$1:$AB$33)),ROW(28:28)),2)),"",INDEX($AB$1:$AC$33,SMALL(IF($AB$1:$AB$33=$AF$7,ROW($AB$1:$AB$33)),ROW(28:28)),2))</f>
        <v/>
      </c>
      <c r="M62" s="754"/>
      <c r="N62" s="754"/>
      <c r="O62" s="754"/>
      <c r="P62" s="754"/>
      <c r="Q62" s="755"/>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N30:O30"/>
    <mergeCell ref="P30:Q30"/>
    <mergeCell ref="B30:C30"/>
    <mergeCell ref="D30:E30"/>
    <mergeCell ref="F30:G30"/>
    <mergeCell ref="H30:I30"/>
    <mergeCell ref="J30:K30"/>
    <mergeCell ref="L30:M30"/>
    <mergeCell ref="B1:Q1"/>
    <mergeCell ref="B2:Q2"/>
    <mergeCell ref="B29:E29"/>
    <mergeCell ref="F29:I29"/>
    <mergeCell ref="J29:M29"/>
    <mergeCell ref="N29:Q29"/>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4"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7" t="s">
        <v>156</v>
      </c>
      <c r="C2" s="957"/>
      <c r="D2" s="957"/>
      <c r="E2" s="957"/>
      <c r="F2" s="957"/>
      <c r="G2" s="957"/>
      <c r="H2" s="957"/>
      <c r="I2" s="957"/>
      <c r="J2" s="957"/>
      <c r="K2" s="170"/>
    </row>
    <row r="3" spans="2:13" x14ac:dyDescent="0.2">
      <c r="B3" s="957" t="s">
        <v>251</v>
      </c>
      <c r="C3" s="957"/>
      <c r="D3" s="957"/>
      <c r="E3" s="957"/>
      <c r="F3" s="957"/>
      <c r="G3" s="957"/>
      <c r="H3" s="957"/>
      <c r="I3" s="957"/>
      <c r="J3" s="957"/>
      <c r="K3" s="170"/>
    </row>
    <row r="4" spans="2:13" x14ac:dyDescent="0.2">
      <c r="B4" s="958" t="str">
        <f>+UTAMA!B4</f>
        <v xml:space="preserve">MINGGU KE III OKTOBER ( 14 OKTOBER S/D 20 OKTOBER 2025 ) dalam Juta m3 </v>
      </c>
      <c r="C4" s="958"/>
      <c r="D4" s="958"/>
      <c r="E4" s="958"/>
      <c r="F4" s="958"/>
      <c r="G4" s="958"/>
      <c r="H4" s="958"/>
      <c r="I4" s="958"/>
      <c r="J4" s="958"/>
      <c r="K4" s="171"/>
    </row>
    <row r="5" spans="2:13" ht="13.5" thickBot="1" x14ac:dyDescent="0.25">
      <c r="B5" s="169"/>
      <c r="C5" s="169"/>
      <c r="D5" s="169"/>
      <c r="E5" s="169"/>
      <c r="F5" s="169"/>
      <c r="G5" s="169"/>
      <c r="H5" s="169"/>
      <c r="I5" s="169"/>
      <c r="J5" s="169"/>
      <c r="K5" s="169"/>
    </row>
    <row r="6" spans="2:13" ht="14.25" x14ac:dyDescent="0.2">
      <c r="B6" s="963" t="s">
        <v>18</v>
      </c>
      <c r="C6" s="961" t="s">
        <v>269</v>
      </c>
      <c r="D6" s="959" t="s">
        <v>92</v>
      </c>
      <c r="E6" s="802" t="s">
        <v>25</v>
      </c>
      <c r="F6" s="965" t="s">
        <v>93</v>
      </c>
      <c r="G6" s="966"/>
      <c r="H6" s="965" t="s">
        <v>157</v>
      </c>
      <c r="I6" s="966"/>
      <c r="J6" s="802" t="s">
        <v>69</v>
      </c>
      <c r="K6" s="803" t="s">
        <v>125</v>
      </c>
    </row>
    <row r="7" spans="2:13" x14ac:dyDescent="0.2">
      <c r="B7" s="964"/>
      <c r="C7" s="962"/>
      <c r="D7" s="960"/>
      <c r="E7" s="804" t="s">
        <v>151</v>
      </c>
      <c r="F7" s="805" t="s">
        <v>94</v>
      </c>
      <c r="G7" s="805" t="s">
        <v>22</v>
      </c>
      <c r="H7" s="805" t="s">
        <v>94</v>
      </c>
      <c r="I7" s="805" t="s">
        <v>22</v>
      </c>
      <c r="J7" s="806" t="s">
        <v>22</v>
      </c>
      <c r="K7" s="807" t="s">
        <v>126</v>
      </c>
    </row>
    <row r="8" spans="2:13" x14ac:dyDescent="0.2">
      <c r="B8" s="534">
        <v>1</v>
      </c>
      <c r="C8" s="535">
        <v>2</v>
      </c>
      <c r="D8" s="535">
        <v>3</v>
      </c>
      <c r="E8" s="535">
        <v>4</v>
      </c>
      <c r="F8" s="535">
        <v>5</v>
      </c>
      <c r="G8" s="535">
        <v>6</v>
      </c>
      <c r="H8" s="535">
        <v>7</v>
      </c>
      <c r="I8" s="535">
        <v>8</v>
      </c>
      <c r="J8" s="535">
        <v>9</v>
      </c>
      <c r="K8" s="174">
        <v>10</v>
      </c>
    </row>
    <row r="9" spans="2:13" ht="15" customHeight="1" x14ac:dyDescent="0.2">
      <c r="B9" s="534">
        <v>1</v>
      </c>
      <c r="C9" s="536" t="s">
        <v>28</v>
      </c>
      <c r="D9" s="537">
        <v>12486</v>
      </c>
      <c r="E9" s="538">
        <f>UTAMA!F11</f>
        <v>31.144597999999998</v>
      </c>
      <c r="F9" s="539">
        <f>+UTAMA!G11</f>
        <v>53.96</v>
      </c>
      <c r="G9" s="539">
        <f>+UTAMA!I11</f>
        <v>50.26</v>
      </c>
      <c r="H9" s="540">
        <f>+UTAMA!H11</f>
        <v>21.207999999999998</v>
      </c>
      <c r="I9" s="540">
        <f>+UTAMA!J11</f>
        <v>7.55</v>
      </c>
      <c r="J9" s="175">
        <f t="shared" ref="J9:J20" si="0">IFERROR(+I9/H9*100%*100,0)</f>
        <v>35.599773670313091</v>
      </c>
      <c r="K9" s="176"/>
    </row>
    <row r="10" spans="2:13" ht="15" customHeight="1" x14ac:dyDescent="0.2">
      <c r="B10" s="534">
        <f t="shared" ref="B10:B20" si="1">+B9+1</f>
        <v>2</v>
      </c>
      <c r="C10" s="536" t="s">
        <v>30</v>
      </c>
      <c r="D10" s="537">
        <v>17481</v>
      </c>
      <c r="E10" s="538">
        <f>UTAMA!F13</f>
        <v>45.13</v>
      </c>
      <c r="F10" s="538">
        <f>+UTAMA!G13</f>
        <v>70.16</v>
      </c>
      <c r="G10" s="541">
        <f>+UTAMA!I13</f>
        <v>70.72</v>
      </c>
      <c r="H10" s="542">
        <f>+UTAMA!H13</f>
        <v>13.352</v>
      </c>
      <c r="I10" s="543">
        <f>+UTAMA!J13</f>
        <v>15.074999999999999</v>
      </c>
      <c r="J10" s="175">
        <f t="shared" si="0"/>
        <v>112.90443379269021</v>
      </c>
      <c r="K10" s="176"/>
    </row>
    <row r="11" spans="2:13" ht="15" customHeight="1" x14ac:dyDescent="0.2">
      <c r="B11" s="534">
        <f t="shared" si="1"/>
        <v>3</v>
      </c>
      <c r="C11" s="536" t="s">
        <v>31</v>
      </c>
      <c r="D11" s="537">
        <v>19972</v>
      </c>
      <c r="E11" s="538">
        <f>UTAMA!F14</f>
        <v>49.9</v>
      </c>
      <c r="F11" s="538">
        <f>+UTAMA!G14</f>
        <v>461.3</v>
      </c>
      <c r="G11" s="541">
        <f>+UTAMA!I14</f>
        <v>461.13</v>
      </c>
      <c r="H11" s="542">
        <f>+UTAMA!H14</f>
        <v>19.064</v>
      </c>
      <c r="I11" s="543">
        <f>+UTAMA!J14</f>
        <v>17.05</v>
      </c>
      <c r="J11" s="175">
        <f t="shared" si="0"/>
        <v>89.435585396558963</v>
      </c>
      <c r="K11" s="176"/>
      <c r="L11" s="384"/>
    </row>
    <row r="12" spans="2:13" ht="15" customHeight="1" x14ac:dyDescent="0.2">
      <c r="B12" s="534">
        <f t="shared" si="1"/>
        <v>4</v>
      </c>
      <c r="C12" s="536" t="s">
        <v>34</v>
      </c>
      <c r="D12" s="537">
        <v>59544</v>
      </c>
      <c r="E12" s="538">
        <v>689.09</v>
      </c>
      <c r="F12" s="538">
        <f>+UTAMA!G17</f>
        <v>82</v>
      </c>
      <c r="G12" s="538">
        <f>+UTAMA!I17</f>
        <v>82.05</v>
      </c>
      <c r="H12" s="542">
        <f>+UTAMA!H17</f>
        <v>297.44299999999998</v>
      </c>
      <c r="I12" s="542">
        <f>UTAMA!J17</f>
        <v>298.74299999999999</v>
      </c>
      <c r="J12" s="175">
        <f t="shared" si="0"/>
        <v>100.437058528861</v>
      </c>
      <c r="K12" s="177"/>
    </row>
    <row r="13" spans="2:13" ht="15" customHeight="1" x14ac:dyDescent="0.2">
      <c r="B13" s="534">
        <f t="shared" si="1"/>
        <v>5</v>
      </c>
      <c r="C13" s="536" t="s">
        <v>44</v>
      </c>
      <c r="D13" s="537">
        <v>28109</v>
      </c>
      <c r="E13" s="625">
        <f>UTAMA!F28</f>
        <v>398.69</v>
      </c>
      <c r="F13" s="538">
        <f>+UTAMA!G28</f>
        <v>127.72</v>
      </c>
      <c r="G13" s="541">
        <f>+UTAMA!I28</f>
        <v>127.77</v>
      </c>
      <c r="H13" s="540">
        <f>+UTAMA!H28</f>
        <v>55.326999999999998</v>
      </c>
      <c r="I13" s="540">
        <f>+UTAMA!J28</f>
        <v>56.267000000000003</v>
      </c>
      <c r="J13" s="175">
        <f t="shared" si="0"/>
        <v>101.69898964339292</v>
      </c>
      <c r="K13" s="177"/>
      <c r="M13" s="106">
        <f>I14+I15+I16</f>
        <v>290.69153296999997</v>
      </c>
    </row>
    <row r="14" spans="2:13" ht="15" customHeight="1" x14ac:dyDescent="0.2">
      <c r="B14" s="534">
        <f t="shared" si="1"/>
        <v>6</v>
      </c>
      <c r="C14" s="536" t="s">
        <v>64</v>
      </c>
      <c r="D14" s="537">
        <v>6485</v>
      </c>
      <c r="E14" s="538">
        <f>UTAMA!F50</f>
        <v>38.036000000000001</v>
      </c>
      <c r="F14" s="818">
        <f>+UTAMA!G50</f>
        <v>60.96</v>
      </c>
      <c r="G14" s="819">
        <f>+UTAMA!I50</f>
        <v>65.87</v>
      </c>
      <c r="H14" s="820">
        <f>+UTAMA!H50</f>
        <v>14.58</v>
      </c>
      <c r="I14" s="821">
        <f>+UTAMA!J50</f>
        <v>22.72</v>
      </c>
      <c r="J14" s="175">
        <f t="shared" si="0"/>
        <v>155.82990397805213</v>
      </c>
      <c r="K14" s="177"/>
    </row>
    <row r="15" spans="2:13" ht="15" customHeight="1" x14ac:dyDescent="0.2">
      <c r="B15" s="534">
        <f t="shared" si="1"/>
        <v>7</v>
      </c>
      <c r="C15" s="536" t="s">
        <v>65</v>
      </c>
      <c r="D15" s="537">
        <v>31109</v>
      </c>
      <c r="E15" s="538">
        <f>UTAMA!F51</f>
        <v>388.72199999999998</v>
      </c>
      <c r="F15" s="818">
        <f>+UTAMA!G51</f>
        <v>170.09</v>
      </c>
      <c r="G15" s="819">
        <f>+UTAMA!I51</f>
        <v>171.47</v>
      </c>
      <c r="H15" s="820">
        <f>+UTAMA!H51</f>
        <v>271.23</v>
      </c>
      <c r="I15" s="821">
        <f>+UTAMA!J51</f>
        <v>257.08</v>
      </c>
      <c r="J15" s="175">
        <f t="shared" si="0"/>
        <v>94.783025476532828</v>
      </c>
      <c r="K15" s="177"/>
    </row>
    <row r="16" spans="2:13" ht="15" customHeight="1" x14ac:dyDescent="0.2">
      <c r="B16" s="534">
        <f t="shared" si="1"/>
        <v>8</v>
      </c>
      <c r="C16" s="536" t="s">
        <v>66</v>
      </c>
      <c r="D16" s="537">
        <v>8400</v>
      </c>
      <c r="E16" s="538">
        <f>UTAMA!F52</f>
        <v>23.24</v>
      </c>
      <c r="F16" s="538">
        <f>+UTAMA!G52</f>
        <v>229.4</v>
      </c>
      <c r="G16" s="541">
        <f>+UTAMA!I52</f>
        <v>230.51</v>
      </c>
      <c r="H16" s="542">
        <f>+UTAMA!H52</f>
        <v>4.7305925999999996</v>
      </c>
      <c r="I16" s="543">
        <f>+UTAMA!J52</f>
        <v>10.89153297</v>
      </c>
      <c r="J16" s="175">
        <f t="shared" si="0"/>
        <v>230.23612242576124</v>
      </c>
      <c r="K16" s="177"/>
      <c r="L16" s="384"/>
    </row>
    <row r="17" spans="2:12" ht="15" customHeight="1" x14ac:dyDescent="0.2">
      <c r="B17" s="534">
        <f t="shared" si="1"/>
        <v>9</v>
      </c>
      <c r="C17" s="536" t="s">
        <v>331</v>
      </c>
      <c r="D17" s="537">
        <v>1500</v>
      </c>
      <c r="E17" s="728">
        <f>UTAMA!F29</f>
        <v>25</v>
      </c>
      <c r="F17" s="538">
        <f>UTAMA!G29</f>
        <v>176.32</v>
      </c>
      <c r="G17" s="541">
        <f>UTAMA!I29</f>
        <v>182.57</v>
      </c>
      <c r="H17" s="542">
        <f>UTAMA!H29</f>
        <v>10.382</v>
      </c>
      <c r="I17" s="543">
        <f>UTAMA!J29</f>
        <v>20.376000000000001</v>
      </c>
      <c r="J17" s="175">
        <f t="shared" si="0"/>
        <v>196.26276247351186</v>
      </c>
      <c r="K17" s="177"/>
      <c r="L17" s="384"/>
    </row>
    <row r="18" spans="2:12" ht="15" customHeight="1" x14ac:dyDescent="0.2">
      <c r="B18" s="534">
        <f t="shared" si="1"/>
        <v>10</v>
      </c>
      <c r="C18" s="536" t="s">
        <v>332</v>
      </c>
      <c r="D18" s="537">
        <v>5296</v>
      </c>
      <c r="E18" s="728">
        <f>UTAMA!F343</f>
        <v>20.149999999999999</v>
      </c>
      <c r="F18" s="538">
        <f>UTAMA!G18</f>
        <v>83.02</v>
      </c>
      <c r="G18" s="541">
        <f>UTAMA!I18</f>
        <v>86.14</v>
      </c>
      <c r="H18" s="542">
        <f>UTAMA!H18</f>
        <v>13.439</v>
      </c>
      <c r="I18" s="543">
        <f>UTAMA!J18</f>
        <v>16.670000000000002</v>
      </c>
      <c r="J18" s="175">
        <f t="shared" si="0"/>
        <v>124.04196740828932</v>
      </c>
      <c r="K18" s="177"/>
      <c r="L18" s="384"/>
    </row>
    <row r="19" spans="2:12" ht="15" customHeight="1" x14ac:dyDescent="0.2">
      <c r="B19" s="534">
        <f t="shared" si="1"/>
        <v>11</v>
      </c>
      <c r="C19" s="536" t="s">
        <v>333</v>
      </c>
      <c r="D19" s="537">
        <v>630</v>
      </c>
      <c r="E19" s="542">
        <v>10.41</v>
      </c>
      <c r="F19" s="538">
        <f>UTAMA!G19</f>
        <v>91.88</v>
      </c>
      <c r="G19" s="541">
        <f>UTAMA!I19</f>
        <v>93.66</v>
      </c>
      <c r="H19" s="542">
        <f>UTAMA!H19</f>
        <v>7.2279999999999998</v>
      </c>
      <c r="I19" s="543">
        <f>UTAMA!J19</f>
        <v>9.3569999999999993</v>
      </c>
      <c r="J19" s="175">
        <f t="shared" si="0"/>
        <v>129.45489762036524</v>
      </c>
      <c r="K19" s="177"/>
      <c r="L19" s="384"/>
    </row>
    <row r="20" spans="2:12" ht="15" customHeight="1" x14ac:dyDescent="0.2">
      <c r="B20" s="534">
        <f t="shared" si="1"/>
        <v>12</v>
      </c>
      <c r="C20" s="536" t="s">
        <v>216</v>
      </c>
      <c r="D20" s="537">
        <v>0</v>
      </c>
      <c r="E20" s="410">
        <f>UTAMA!F53</f>
        <v>17.670000000000002</v>
      </c>
      <c r="F20" s="538">
        <f>+UTAMA!G53</f>
        <v>141.19999999999999</v>
      </c>
      <c r="G20" s="541">
        <f>+UTAMA!I53</f>
        <v>145.35</v>
      </c>
      <c r="H20" s="542">
        <f>+UTAMA!H53</f>
        <v>8.8000000000000007</v>
      </c>
      <c r="I20" s="543">
        <f>+UTAMA!J53</f>
        <v>12.08</v>
      </c>
      <c r="J20" s="175">
        <f t="shared" si="0"/>
        <v>137.27272727272725</v>
      </c>
      <c r="K20" s="177"/>
    </row>
    <row r="21" spans="2:12" ht="15" customHeight="1" thickBot="1" x14ac:dyDescent="0.25">
      <c r="B21" s="544"/>
      <c r="C21" s="545" t="s">
        <v>89</v>
      </c>
      <c r="D21" s="546">
        <f>SUM(D9:D16)</f>
        <v>183586</v>
      </c>
      <c r="E21" s="547">
        <f>SUM(E9:E20)</f>
        <v>1737.1825980000003</v>
      </c>
      <c r="F21" s="547"/>
      <c r="G21" s="546"/>
      <c r="H21" s="548">
        <f>SUM(H9:H20)</f>
        <v>736.78359259999979</v>
      </c>
      <c r="I21" s="548">
        <f>SUM(I9:I20)</f>
        <v>743.8595329699998</v>
      </c>
      <c r="J21" s="549">
        <f>I21/H21*100</f>
        <v>100.9603824570835</v>
      </c>
      <c r="K21" s="408"/>
    </row>
    <row r="22" spans="2:12" ht="15" customHeight="1" thickBot="1" x14ac:dyDescent="0.25">
      <c r="B22" s="550"/>
      <c r="C22" s="551" t="s">
        <v>69</v>
      </c>
      <c r="D22" s="551"/>
      <c r="E22" s="552"/>
      <c r="F22" s="553"/>
      <c r="G22" s="554"/>
      <c r="H22" s="555" t="s">
        <v>95</v>
      </c>
      <c r="I22" s="556">
        <f>+I21/H21*100%</f>
        <v>1.009603824570835</v>
      </c>
      <c r="J22" s="556"/>
      <c r="K22" s="409"/>
    </row>
    <row r="23" spans="2:12" x14ac:dyDescent="0.2">
      <c r="B23" s="557"/>
      <c r="C23" s="558" t="s">
        <v>90</v>
      </c>
      <c r="D23" s="558"/>
      <c r="E23" s="558"/>
      <c r="F23" s="557"/>
      <c r="G23" s="557"/>
      <c r="H23" s="557"/>
      <c r="I23" s="557"/>
      <c r="J23" s="557"/>
      <c r="K23" s="169"/>
    </row>
    <row r="24" spans="2:12" ht="15" customHeight="1" x14ac:dyDescent="0.2">
      <c r="B24" s="557"/>
      <c r="C24" s="557" t="s">
        <v>91</v>
      </c>
      <c r="D24" s="557"/>
      <c r="E24" s="557"/>
      <c r="F24" s="557"/>
      <c r="G24" s="557"/>
      <c r="H24" s="557"/>
      <c r="I24" s="557"/>
      <c r="J24" s="557" t="s">
        <v>96</v>
      </c>
      <c r="K24" s="169"/>
    </row>
    <row r="25" spans="2:12" ht="15" customHeight="1" x14ac:dyDescent="0.2">
      <c r="B25" s="557"/>
      <c r="C25" s="557" t="s">
        <v>97</v>
      </c>
      <c r="D25" s="559" t="s">
        <v>98</v>
      </c>
      <c r="E25" s="559"/>
      <c r="F25" s="557" t="s">
        <v>99</v>
      </c>
      <c r="G25" s="557"/>
      <c r="H25" s="557"/>
      <c r="I25" s="170" t="s">
        <v>177</v>
      </c>
      <c r="J25" s="560">
        <f>COUNTIF(J9:J20,"&gt;100")</f>
        <v>9</v>
      </c>
      <c r="K25" s="171"/>
    </row>
    <row r="26" spans="2:12" ht="15" customHeight="1" x14ac:dyDescent="0.2">
      <c r="B26" s="557"/>
      <c r="C26" s="557" t="s">
        <v>100</v>
      </c>
      <c r="D26" s="559" t="s">
        <v>98</v>
      </c>
      <c r="E26" s="559"/>
      <c r="F26" s="557" t="s">
        <v>101</v>
      </c>
      <c r="G26" s="557"/>
      <c r="H26" s="557"/>
      <c r="I26" s="170" t="s">
        <v>177</v>
      </c>
      <c r="J26" s="561">
        <f>COUNTIFS(J9:J20,"&gt;=85",J9:J20,"&lt;=100")</f>
        <v>2</v>
      </c>
      <c r="K26" s="171"/>
    </row>
    <row r="27" spans="2:12" ht="15" customHeight="1" x14ac:dyDescent="0.2">
      <c r="B27" s="557"/>
      <c r="C27" s="557" t="s">
        <v>102</v>
      </c>
      <c r="D27" s="559" t="s">
        <v>98</v>
      </c>
      <c r="E27" s="559"/>
      <c r="F27" s="557" t="s">
        <v>103</v>
      </c>
      <c r="G27" s="557"/>
      <c r="H27" s="557"/>
      <c r="I27" s="170" t="s">
        <v>177</v>
      </c>
      <c r="J27" s="562">
        <f>COUNTIFS(J9:J20,"&gt;0",J9:J20,"&lt;85")</f>
        <v>1</v>
      </c>
      <c r="K27" s="171"/>
    </row>
    <row r="28" spans="2:12" ht="15" customHeight="1" thickBot="1" x14ac:dyDescent="0.25">
      <c r="B28" s="557"/>
      <c r="C28" s="563">
        <v>0</v>
      </c>
      <c r="D28" s="559" t="s">
        <v>98</v>
      </c>
      <c r="E28" s="559"/>
      <c r="F28" s="557" t="s">
        <v>104</v>
      </c>
      <c r="G28" s="557"/>
      <c r="H28" s="557"/>
      <c r="I28" s="170" t="s">
        <v>177</v>
      </c>
      <c r="J28" s="564">
        <f>COUNTIF(J9:J16,"0")</f>
        <v>0</v>
      </c>
      <c r="K28" s="171"/>
    </row>
    <row r="29" spans="2:12" ht="15" customHeight="1" thickTop="1" x14ac:dyDescent="0.2">
      <c r="B29" s="557"/>
      <c r="C29" s="557"/>
      <c r="D29" s="557"/>
      <c r="E29" s="557"/>
      <c r="F29" s="557"/>
      <c r="G29" s="957" t="s">
        <v>89</v>
      </c>
      <c r="H29" s="957"/>
      <c r="I29" s="565" t="s">
        <v>98</v>
      </c>
      <c r="J29" s="566">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2025-10-24T06:45:58Z</dcterms:modified>
</cp:coreProperties>
</file>